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7D8F3265-B0F6-41F6-88E9-D50BB2430866}" xr6:coauthVersionLast="47" xr6:coauthVersionMax="47" xr10:uidLastSave="{00000000-0000-0000-0000-000000000000}"/>
  <bookViews>
    <workbookView xWindow="-108" yWindow="-108" windowWidth="23256" windowHeight="12456" tabRatio="812" firstSheet="22" activeTab="31" xr2:uid="{00000000-000D-0000-FFFF-FFFF00000000}"/>
  </bookViews>
  <sheets>
    <sheet name="目录" sheetId="1" r:id="rId1"/>
    <sheet name="函数字母索引" sheetId="141" r:id="rId2"/>
    <sheet name="关于分析工具库" sheetId="142" r:id="rId3"/>
    <sheet name="计算日期、天数、星期" sheetId="3" r:id="rId4"/>
    <sheet name="计算日期时间的数值" sheetId="22" r:id="rId5"/>
    <sheet name="TODAY与NOW" sheetId="24" r:id="rId6"/>
    <sheet name="提取年月日星期数函数" sheetId="25" r:id="rId7"/>
    <sheet name="提取时分秒" sheetId="27" r:id="rId8"/>
    <sheet name="SUM" sheetId="28" r:id="rId9"/>
    <sheet name="SUMIF" sheetId="29" r:id="rId10"/>
    <sheet name="COUNTIF" sheetId="30" r:id="rId11"/>
    <sheet name="PRODUCT" sheetId="31" r:id="rId12"/>
    <sheet name="SUMPRODUCT" sheetId="32" r:id="rId13"/>
    <sheet name="SUMSQ" sheetId="33" r:id="rId14"/>
    <sheet name="数组的平方计算" sheetId="34" r:id="rId15"/>
    <sheet name="SUBTOTAL" sheetId="35" r:id="rId16"/>
    <sheet name="数值舍入取整" sheetId="36" r:id="rId17"/>
    <sheet name="商的整数部分或余数" sheetId="38" r:id="rId18"/>
    <sheet name="最大公约数或最小公倍数" sheetId="39" r:id="rId19"/>
    <sheet name="转换或检查符号" sheetId="40" r:id="rId20"/>
    <sheet name="组合的计算" sheetId="41" r:id="rId21"/>
    <sheet name="计算幂级数与平方根" sheetId="42" r:id="rId22"/>
    <sheet name="指数与对数函数" sheetId="43" r:id="rId23"/>
    <sheet name="三角与反三角函数" sheetId="45" r:id="rId24"/>
    <sheet name="计算圆周率与角度和弧度的转换" sheetId="44" r:id="rId25"/>
    <sheet name="双曲与反双曲函数" sheetId="46" r:id="rId26"/>
    <sheet name="计算矩阵" sheetId="47" r:id="rId27"/>
    <sheet name="随机数" sheetId="48" r:id="rId28"/>
    <sheet name="IF" sheetId="49" r:id="rId29"/>
    <sheet name="判断多个条件" sheetId="50" r:id="rId30"/>
    <sheet name="表示逻辑值" sheetId="51" r:id="rId31"/>
    <sheet name="VLOOKUP" sheetId="52" r:id="rId32"/>
    <sheet name="HLOOKUP" sheetId="53" r:id="rId33"/>
    <sheet name="LOOKUP" sheetId="54" r:id="rId34"/>
    <sheet name="MATCH" sheetId="55" r:id="rId35"/>
    <sheet name="OFFSET" sheetId="56" r:id="rId36"/>
    <sheet name="INDEX" sheetId="57" r:id="rId37"/>
    <sheet name="INDIRECT与CHOOSE" sheetId="59" r:id="rId38"/>
    <sheet name="单元格引用或单元格位置" sheetId="61" r:id="rId39"/>
    <sheet name="计算区域内的要素" sheetId="60" r:id="rId40"/>
    <sheet name="HYPERLINK" sheetId="63" r:id="rId41"/>
    <sheet name="TRANSPOSE" sheetId="62" r:id="rId42"/>
    <sheet name="RTD" sheetId="64" r:id="rId43"/>
    <sheet name="全角半角字符转换" sheetId="65" r:id="rId44"/>
    <sheet name="大小写字母转换" sheetId="66" r:id="rId45"/>
    <sheet name="文本转换计算合并" sheetId="67" r:id="rId46"/>
    <sheet name="提取文本的一部分" sheetId="68" r:id="rId47"/>
    <sheet name="检索文本" sheetId="69" r:id="rId48"/>
    <sheet name="替换文本" sheetId="70" r:id="rId49"/>
    <sheet name="删除多余的字符" sheetId="71" r:id="rId50"/>
    <sheet name="操作文字代码" sheetId="72" r:id="rId51"/>
    <sheet name="TEXT" sheetId="58" r:id="rId52"/>
    <sheet name="数值转换成格式" sheetId="37" r:id="rId53"/>
    <sheet name="检查重复返回文本" sheetId="74" r:id="rId54"/>
    <sheet name="TRIMMEAN" sheetId="78" r:id="rId55"/>
    <sheet name="计算数据的个数" sheetId="80" r:id="rId56"/>
    <sheet name="平均值" sheetId="81" r:id="rId57"/>
    <sheet name="中位数和众数" sheetId="82" r:id="rId58"/>
    <sheet name="最大值和最小值" sheetId="83" r:id="rId59"/>
    <sheet name="计算位置" sheetId="84" r:id="rId60"/>
    <sheet name="FREQUENCY" sheetId="85" r:id="rId61"/>
    <sheet name="百分位数和四分位数" sheetId="86" r:id="rId62"/>
    <sheet name="计算方差" sheetId="73" r:id="rId63"/>
    <sheet name="计算标准偏差" sheetId="88" r:id="rId64"/>
    <sheet name="计算平均偏差和变动" sheetId="89" r:id="rId65"/>
    <sheet name="数据的标准化与比率和偏斜度" sheetId="90" r:id="rId66"/>
    <sheet name="使用回归直曲线或指数回归进行的预测" sheetId="91" r:id="rId67"/>
    <sheet name="计算相关系数" sheetId="92" r:id="rId68"/>
    <sheet name="CONFIDENCE与PROB" sheetId="93" r:id="rId69"/>
    <sheet name="各种分布的概率" sheetId="94" r:id="rId70"/>
    <sheet name="对数正态分布的累积概率" sheetId="95" r:id="rId71"/>
    <sheet name="卡方分布与检验" sheetId="87" r:id="rId72"/>
    <sheet name="t分布与检验" sheetId="97" r:id="rId73"/>
    <sheet name="F分布与检验" sheetId="98" r:id="rId74"/>
    <sheet name="FISHER变换" sheetId="99" r:id="rId75"/>
    <sheet name="计算伽玛分布" sheetId="100" r:id="rId76"/>
    <sheet name="计算Beta分布" sheetId="101" r:id="rId77"/>
    <sheet name="ZTEST与EXPONDIST与WEIBULL" sheetId="102" r:id="rId78"/>
    <sheet name="贷款部分" sheetId="103" r:id="rId79"/>
    <sheet name="贷储利率类" sheetId="104" r:id="rId80"/>
    <sheet name="内部利益率" sheetId="105" r:id="rId81"/>
    <sheet name="定期付息证券" sheetId="106" r:id="rId82"/>
    <sheet name="定期付息证券的日期信息" sheetId="107" r:id="rId83"/>
    <sheet name="定期付息证券的修正期限" sheetId="108" r:id="rId84"/>
    <sheet name="期间不定的定期付息证券" sheetId="109" r:id="rId85"/>
    <sheet name="到期付息证券" sheetId="110" r:id="rId86"/>
    <sheet name="折价证券" sheetId="111" r:id="rId87"/>
    <sheet name="美国财务省的短期证券" sheetId="112" r:id="rId88"/>
    <sheet name="美元价格表示式" sheetId="113" r:id="rId89"/>
    <sheet name="计算折旧费" sheetId="114" r:id="rId90"/>
    <sheet name="交换数值的进制标记" sheetId="115" r:id="rId91"/>
    <sheet name="构成和分解复数" sheetId="116" r:id="rId92"/>
    <sheet name="复数转换成模形式" sheetId="117" r:id="rId93"/>
    <sheet name="进行复数的四则运算" sheetId="118" r:id="rId94"/>
    <sheet name="复数的指数函数和幂函数的值" sheetId="119" r:id="rId95"/>
    <sheet name="复数的对数函数值" sheetId="120" r:id="rId96"/>
    <sheet name="复数的平方根与三角函数" sheetId="121" r:id="rId97"/>
    <sheet name="使用贝塞尔函数" sheetId="122" r:id="rId98"/>
    <sheet name="使用误差函数" sheetId="123" r:id="rId99"/>
    <sheet name="比较数值" sheetId="124" r:id="rId100"/>
    <sheet name="单位的转换" sheetId="125" r:id="rId101"/>
    <sheet name="查看单元格内容" sheetId="126" r:id="rId102"/>
    <sheet name="查看数据型或错误值" sheetId="127" r:id="rId103"/>
    <sheet name="查看单元格信息" sheetId="128" r:id="rId104"/>
    <sheet name="变更为数值" sheetId="129" r:id="rId105"/>
    <sheet name="获取操作环境的信息" sheetId="130" r:id="rId106"/>
    <sheet name="使用数据透视表" sheetId="138" r:id="rId107"/>
    <sheet name="满足条件的单元格的个数" sheetId="132" r:id="rId108"/>
    <sheet name="满足条件的最大值或最小值" sheetId="133" r:id="rId109"/>
    <sheet name="满足条件的列的各种计算" sheetId="134" r:id="rId110"/>
    <sheet name="DGET" sheetId="135" r:id="rId111"/>
    <sheet name="计算数据库的方差" sheetId="136" r:id="rId112"/>
    <sheet name="数据库的标准偏差" sheetId="137" r:id="rId113"/>
    <sheet name="外部函数" sheetId="139" r:id="rId114"/>
  </sheets>
  <definedNames>
    <definedName name="嵌套函数">IF!$G$51</definedName>
  </definedNames>
  <calcPr calcId="191029"/>
  <pivotCaches>
    <pivotCache cacheId="0" r:id="rId1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0" i="53" l="1"/>
  <c r="B120" i="65"/>
  <c r="B20" i="65"/>
  <c r="G327" i="67"/>
  <c r="E1" i="93"/>
  <c r="E19" i="93"/>
  <c r="E100" i="93"/>
  <c r="F119" i="93"/>
  <c r="C125" i="93"/>
  <c r="D125" i="93"/>
  <c r="E1" i="30"/>
  <c r="E17" i="30"/>
  <c r="E18" i="30"/>
  <c r="E19" i="30"/>
  <c r="E20" i="30"/>
  <c r="E21" i="30"/>
  <c r="E22" i="30"/>
  <c r="E23" i="30"/>
  <c r="E24" i="30"/>
  <c r="E25" i="30"/>
  <c r="D30" i="30"/>
  <c r="D32" i="30"/>
  <c r="D34" i="30"/>
  <c r="G44" i="30"/>
  <c r="E45" i="30"/>
  <c r="E46" i="30"/>
  <c r="G46" i="30"/>
  <c r="E47" i="30"/>
  <c r="G54" i="30" s="1"/>
  <c r="E48" i="30"/>
  <c r="G48" i="30"/>
  <c r="E49" i="30"/>
  <c r="E50" i="30"/>
  <c r="G50" i="30"/>
  <c r="E51" i="30"/>
  <c r="E52" i="30"/>
  <c r="G52" i="30"/>
  <c r="E53" i="30"/>
  <c r="E54" i="30"/>
  <c r="E56" i="30"/>
  <c r="G56" i="30"/>
  <c r="G58" i="30"/>
  <c r="B60" i="30"/>
  <c r="G70" i="30" s="1"/>
  <c r="G60" i="30"/>
  <c r="G62" i="30"/>
  <c r="G66" i="30"/>
  <c r="G74" i="30"/>
  <c r="E82" i="30"/>
  <c r="H82" i="30"/>
  <c r="E83" i="30"/>
  <c r="E84" i="30"/>
  <c r="E85" i="30"/>
  <c r="E86" i="30"/>
  <c r="H86" i="30"/>
  <c r="E87" i="30"/>
  <c r="E88" i="30"/>
  <c r="E89" i="30"/>
  <c r="E90" i="30"/>
  <c r="H90" i="30"/>
  <c r="E91" i="30"/>
  <c r="D117" i="30"/>
  <c r="D119" i="30"/>
  <c r="F127" i="30" a="1"/>
  <c r="F127" i="30" s="1"/>
  <c r="F134" i="30" a="1"/>
  <c r="F134" i="30" s="1"/>
  <c r="E1" i="135"/>
  <c r="G23" i="135"/>
  <c r="E1" i="99"/>
  <c r="C19" i="99"/>
  <c r="E100" i="99"/>
  <c r="C118" i="99"/>
  <c r="E1" i="85"/>
  <c r="F19" i="85"/>
  <c r="F19" i="85" a="1"/>
  <c r="F21" i="85" s="1"/>
  <c r="F20" i="85"/>
  <c r="F22" i="85"/>
  <c r="F23" i="85"/>
  <c r="F24" i="85"/>
  <c r="E1" i="98"/>
  <c r="E19" i="98"/>
  <c r="E100" i="98"/>
  <c r="E118" i="98"/>
  <c r="E200" i="98"/>
  <c r="E218" i="98"/>
  <c r="E1" i="53"/>
  <c r="H19" i="53"/>
  <c r="E1" i="63"/>
  <c r="C18" i="63"/>
  <c r="C21" i="63"/>
  <c r="C22" i="63"/>
  <c r="D27" i="63"/>
  <c r="D28" i="63"/>
  <c r="E1" i="49"/>
  <c r="C17" i="49"/>
  <c r="C18" i="49"/>
  <c r="C19" i="49"/>
  <c r="C20" i="49"/>
  <c r="D31" i="49"/>
  <c r="D32" i="49"/>
  <c r="D33" i="49"/>
  <c r="D34" i="49"/>
  <c r="D35" i="49"/>
  <c r="D36" i="49"/>
  <c r="D37" i="49"/>
  <c r="D38" i="49"/>
  <c r="D39" i="49"/>
  <c r="D40" i="49"/>
  <c r="C49" i="49"/>
  <c r="C58" i="49"/>
  <c r="C61" i="49" s="1"/>
  <c r="C59" i="49"/>
  <c r="B68" i="49"/>
  <c r="C73" i="49"/>
  <c r="C74" i="49"/>
  <c r="H76" i="49"/>
  <c r="H77" i="49"/>
  <c r="G82" i="49"/>
  <c r="H82" i="49"/>
  <c r="I82" i="49"/>
  <c r="J82" i="49"/>
  <c r="G84" i="49"/>
  <c r="C86" i="49"/>
  <c r="C87" i="49"/>
  <c r="C88" i="49"/>
  <c r="B91" i="49"/>
  <c r="B95" i="49"/>
  <c r="B99" i="49"/>
  <c r="E1" i="57"/>
  <c r="E100" i="57"/>
  <c r="E120" i="57"/>
  <c r="E121" i="57"/>
  <c r="H121" i="57"/>
  <c r="E122" i="57"/>
  <c r="E123" i="57"/>
  <c r="E124" i="57"/>
  <c r="G124" i="57"/>
  <c r="E125" i="57"/>
  <c r="E126" i="57"/>
  <c r="E127" i="57"/>
  <c r="E128" i="57"/>
  <c r="E1" i="59"/>
  <c r="E100" i="59"/>
  <c r="F118" i="59"/>
  <c r="E1" i="54"/>
  <c r="J23" i="54"/>
  <c r="C39" i="54"/>
  <c r="E1" i="55"/>
  <c r="G20" i="55"/>
  <c r="E1" i="56"/>
  <c r="G21" i="56"/>
  <c r="G27" i="56"/>
  <c r="E1" i="31"/>
  <c r="C15" i="31"/>
  <c r="C17" i="31"/>
  <c r="C19" i="31"/>
  <c r="E27" i="31"/>
  <c r="E28" i="31"/>
  <c r="E29" i="31"/>
  <c r="E30" i="31"/>
  <c r="E31" i="31"/>
  <c r="E32" i="31"/>
  <c r="E33" i="31"/>
  <c r="E34" i="31"/>
  <c r="E35" i="31"/>
  <c r="D40" i="31"/>
  <c r="D41" i="31"/>
  <c r="E1" i="64"/>
  <c r="E1" i="35"/>
  <c r="F36" i="35"/>
  <c r="F37" i="35"/>
  <c r="F38" i="35"/>
  <c r="F39" i="35"/>
  <c r="F40" i="35"/>
  <c r="D41" i="35"/>
  <c r="F41" i="35" s="1"/>
  <c r="E41" i="35"/>
  <c r="E48" i="35" s="1"/>
  <c r="F42" i="35"/>
  <c r="F43" i="35"/>
  <c r="F44" i="35"/>
  <c r="F45" i="35"/>
  <c r="F46" i="35"/>
  <c r="D47" i="35"/>
  <c r="F47" i="35" s="1"/>
  <c r="E47" i="35"/>
  <c r="D52" i="35"/>
  <c r="F59" i="35"/>
  <c r="F60" i="35"/>
  <c r="F61" i="35"/>
  <c r="F62" i="35"/>
  <c r="F63" i="35"/>
  <c r="D64" i="35"/>
  <c r="F64" i="35" s="1"/>
  <c r="E64" i="35"/>
  <c r="F65" i="35"/>
  <c r="F66" i="35"/>
  <c r="F67" i="35"/>
  <c r="F68" i="35"/>
  <c r="F69" i="35"/>
  <c r="D70" i="35"/>
  <c r="F70" i="35" s="1"/>
  <c r="E70" i="35"/>
  <c r="E71" i="35" s="1"/>
  <c r="E1" i="28"/>
  <c r="B14" i="28"/>
  <c r="B15" i="28" s="1"/>
  <c r="B16" i="28" s="1"/>
  <c r="H14" i="28"/>
  <c r="B17" i="28"/>
  <c r="H17" i="28"/>
  <c r="B18" i="28"/>
  <c r="H18" i="28"/>
  <c r="I24" i="28"/>
  <c r="I25" i="28"/>
  <c r="I25" i="28" a="1"/>
  <c r="I26" i="28" a="1"/>
  <c r="I26" i="28" s="1"/>
  <c r="I27" i="28"/>
  <c r="I27" i="28" a="1"/>
  <c r="I28" i="28" a="1"/>
  <c r="I28" i="28" s="1"/>
  <c r="I29" i="28"/>
  <c r="I29" i="28" a="1"/>
  <c r="I30" i="28" a="1"/>
  <c r="I30" i="28" s="1"/>
  <c r="I32" i="28"/>
  <c r="I45" i="28" a="1"/>
  <c r="I45" i="28" s="1"/>
  <c r="I46" i="28" a="1"/>
  <c r="I46" i="28" s="1"/>
  <c r="I47" i="28" a="1"/>
  <c r="I47" i="28" s="1"/>
  <c r="I48" i="28" a="1"/>
  <c r="I48" i="28" s="1"/>
  <c r="I49" i="28" a="1"/>
  <c r="I49" i="28" s="1"/>
  <c r="I50" i="28" a="1"/>
  <c r="I50" i="28" s="1"/>
  <c r="B55" i="28"/>
  <c r="B56" i="28"/>
  <c r="E1" i="29"/>
  <c r="E17" i="29"/>
  <c r="E18" i="29"/>
  <c r="E19" i="29"/>
  <c r="E20" i="29"/>
  <c r="E21" i="29"/>
  <c r="E22" i="29"/>
  <c r="E23" i="29"/>
  <c r="E24" i="29"/>
  <c r="E25" i="29"/>
  <c r="E30" i="29"/>
  <c r="E31" i="29"/>
  <c r="E32" i="29"/>
  <c r="E33" i="29"/>
  <c r="G61" i="29"/>
  <c r="G62" i="29" a="1"/>
  <c r="G62" i="29" s="1"/>
  <c r="G63" i="29"/>
  <c r="G64" i="29"/>
  <c r="G65" i="29"/>
  <c r="E74" i="29"/>
  <c r="H74" i="29" a="1"/>
  <c r="H74" i="29" s="1"/>
  <c r="E75" i="29"/>
  <c r="E76" i="29"/>
  <c r="E77" i="29"/>
  <c r="E78" i="29"/>
  <c r="E79" i="29"/>
  <c r="E80" i="29"/>
  <c r="E81" i="29"/>
  <c r="E82" i="29"/>
  <c r="B91" i="29"/>
  <c r="B92" i="29"/>
  <c r="B94" i="29"/>
  <c r="B95" i="29"/>
  <c r="B96" i="29"/>
  <c r="B101" i="29"/>
  <c r="C110" i="29"/>
  <c r="E1" i="32"/>
  <c r="D15" i="32"/>
  <c r="D16" i="32"/>
  <c r="C23" i="32"/>
  <c r="F23" i="32"/>
  <c r="F24" i="32"/>
  <c r="F25" i="32"/>
  <c r="F33" i="32" s="1"/>
  <c r="F26" i="32"/>
  <c r="F27" i="32"/>
  <c r="F28" i="32"/>
  <c r="H28" i="32"/>
  <c r="F29" i="32"/>
  <c r="F30" i="32"/>
  <c r="F31" i="32"/>
  <c r="F32" i="32"/>
  <c r="H32" i="32"/>
  <c r="F34" i="32"/>
  <c r="H34" i="32"/>
  <c r="H36" i="32"/>
  <c r="G51" i="32"/>
  <c r="G53" i="32"/>
  <c r="G55" i="32"/>
  <c r="F64" i="32"/>
  <c r="H64" i="32"/>
  <c r="I64" i="32"/>
  <c r="F65" i="32"/>
  <c r="H65" i="32"/>
  <c r="I65" i="32"/>
  <c r="F66" i="32"/>
  <c r="F67" i="32"/>
  <c r="F68" i="32"/>
  <c r="F69" i="32"/>
  <c r="F70" i="32"/>
  <c r="F71" i="32"/>
  <c r="F72" i="32"/>
  <c r="F73" i="32"/>
  <c r="C93" i="32"/>
  <c r="C94" i="32"/>
  <c r="C95" i="32"/>
  <c r="C96" i="32"/>
  <c r="C97" i="32"/>
  <c r="C98" i="32"/>
  <c r="H105" i="32"/>
  <c r="H110" i="32"/>
  <c r="H114" i="32"/>
  <c r="E1" i="33"/>
  <c r="D15" i="33"/>
  <c r="D16" i="33"/>
  <c r="D17" i="33"/>
  <c r="D18" i="33"/>
  <c r="D19" i="33"/>
  <c r="E1" i="58"/>
  <c r="K19" i="58"/>
  <c r="K20" i="58"/>
  <c r="K21" i="58"/>
  <c r="K22" i="58"/>
  <c r="K23" i="58"/>
  <c r="K24" i="58"/>
  <c r="K25" i="58"/>
  <c r="K26" i="58"/>
  <c r="K27" i="58"/>
  <c r="K28" i="58"/>
  <c r="K29" i="58"/>
  <c r="K33" i="58"/>
  <c r="K34" i="58"/>
  <c r="K36" i="58"/>
  <c r="K37" i="58"/>
  <c r="K38" i="58"/>
  <c r="K39" i="58"/>
  <c r="K40" i="58"/>
  <c r="K41" i="58"/>
  <c r="K46" i="58"/>
  <c r="K47" i="58"/>
  <c r="K48" i="58"/>
  <c r="K49" i="58"/>
  <c r="K50" i="58"/>
  <c r="K51" i="58"/>
  <c r="K52" i="58"/>
  <c r="K53" i="58"/>
  <c r="K54" i="58"/>
  <c r="K58" i="58"/>
  <c r="K59" i="58"/>
  <c r="K60" i="58"/>
  <c r="K61" i="58"/>
  <c r="K62" i="58"/>
  <c r="K63" i="58"/>
  <c r="K65" i="58"/>
  <c r="K66" i="58"/>
  <c r="E1" i="24"/>
  <c r="B20" i="24"/>
  <c r="B21" i="24"/>
  <c r="B22" i="24"/>
  <c r="F29" i="24"/>
  <c r="E100" i="24"/>
  <c r="B114" i="24"/>
  <c r="E1" i="62"/>
  <c r="E18" i="62" a="1"/>
  <c r="E18" i="62" s="1"/>
  <c r="G18" i="62"/>
  <c r="I18" i="62"/>
  <c r="K18" i="62"/>
  <c r="E19" i="62"/>
  <c r="G19" i="62"/>
  <c r="I19" i="62"/>
  <c r="K19" i="62"/>
  <c r="E1" i="78"/>
  <c r="F19" i="78"/>
  <c r="F20" i="78"/>
  <c r="D37" i="78"/>
  <c r="D39" i="78"/>
  <c r="E41" i="78"/>
  <c r="F41" i="78"/>
  <c r="G41" i="78"/>
  <c r="D43" i="78"/>
  <c r="E1" i="97"/>
  <c r="D19" i="97"/>
  <c r="E100" i="97"/>
  <c r="D118" i="97"/>
  <c r="E200" i="97"/>
  <c r="E225" i="97"/>
  <c r="E1" i="52"/>
  <c r="E26" i="52"/>
  <c r="E27" i="52"/>
  <c r="H27" i="52"/>
  <c r="E28" i="52"/>
  <c r="E29" i="52"/>
  <c r="E30" i="52"/>
  <c r="E31" i="52"/>
  <c r="E32" i="52"/>
  <c r="E33" i="52"/>
  <c r="E34" i="52"/>
  <c r="C43" i="52"/>
  <c r="E1" i="102"/>
  <c r="G18" i="102"/>
  <c r="G19" i="102"/>
  <c r="E100" i="102"/>
  <c r="D119" i="102"/>
  <c r="E200" i="102"/>
  <c r="E219" i="102"/>
  <c r="E1" i="86"/>
  <c r="E19" i="86"/>
  <c r="E100" i="86"/>
  <c r="E124" i="86"/>
  <c r="E200" i="86"/>
  <c r="D218" i="86"/>
  <c r="D219" i="86"/>
  <c r="D220" i="86"/>
  <c r="D221" i="86"/>
  <c r="D222" i="86"/>
  <c r="D223" i="86"/>
  <c r="D224" i="86"/>
  <c r="D225" i="86"/>
  <c r="D226" i="86"/>
  <c r="D227" i="86"/>
  <c r="D228" i="86"/>
  <c r="D229" i="86"/>
  <c r="E1" i="124"/>
  <c r="B18" i="124"/>
  <c r="B19" i="124"/>
  <c r="B20" i="124"/>
  <c r="E100" i="124"/>
  <c r="B117" i="124"/>
  <c r="B118" i="124"/>
  <c r="B119" i="124"/>
  <c r="B120" i="124"/>
  <c r="E1" i="129"/>
  <c r="C29" i="129"/>
  <c r="C30" i="129"/>
  <c r="C31" i="129"/>
  <c r="C32" i="129"/>
  <c r="C33" i="129"/>
  <c r="E1" i="51"/>
  <c r="B17" i="51"/>
  <c r="E100" i="51"/>
  <c r="B117" i="51"/>
  <c r="E1" i="72"/>
  <c r="D17" i="72"/>
  <c r="D18" i="72"/>
  <c r="E100" i="72"/>
  <c r="E1" i="126"/>
  <c r="D18" i="126"/>
  <c r="C19" i="126"/>
  <c r="D19" i="126"/>
  <c r="D20" i="126"/>
  <c r="D21" i="126"/>
  <c r="D22" i="126"/>
  <c r="C23" i="126"/>
  <c r="D23" i="126" s="1"/>
  <c r="D24" i="126"/>
  <c r="D25" i="126"/>
  <c r="D26" i="126"/>
  <c r="D27" i="126"/>
  <c r="D28" i="126"/>
  <c r="D29" i="126"/>
  <c r="D30" i="126"/>
  <c r="D31" i="126"/>
  <c r="D32" i="126"/>
  <c r="D33" i="126"/>
  <c r="D34" i="126"/>
  <c r="E100" i="126"/>
  <c r="D117" i="126"/>
  <c r="C118" i="126"/>
  <c r="D118" i="126"/>
  <c r="D119" i="126"/>
  <c r="D120" i="126"/>
  <c r="D121" i="126"/>
  <c r="C122" i="126"/>
  <c r="D122" i="126" s="1"/>
  <c r="D123" i="126"/>
  <c r="D124" i="126"/>
  <c r="D125" i="126"/>
  <c r="D126" i="126"/>
  <c r="D127" i="126"/>
  <c r="D128" i="126"/>
  <c r="D129" i="126"/>
  <c r="D130" i="126"/>
  <c r="D131" i="126"/>
  <c r="D132" i="126"/>
  <c r="D133" i="126"/>
  <c r="E200" i="126"/>
  <c r="D217" i="126"/>
  <c r="C218" i="126"/>
  <c r="D218" i="126" s="1"/>
  <c r="D219" i="126"/>
  <c r="D220" i="126"/>
  <c r="D221" i="126"/>
  <c r="C222" i="126"/>
  <c r="D222" i="126" s="1"/>
  <c r="D223" i="126"/>
  <c r="D224" i="126"/>
  <c r="D225" i="126"/>
  <c r="D226" i="126"/>
  <c r="D227" i="126"/>
  <c r="D228" i="126"/>
  <c r="D229" i="126"/>
  <c r="D230" i="126"/>
  <c r="D231" i="126"/>
  <c r="D232" i="126"/>
  <c r="D233" i="126"/>
  <c r="E300" i="126"/>
  <c r="D317" i="126"/>
  <c r="C318" i="126"/>
  <c r="D318" i="126" s="1"/>
  <c r="D319" i="126"/>
  <c r="D320" i="126"/>
  <c r="D321" i="126"/>
  <c r="C322" i="126"/>
  <c r="D322" i="126" s="1"/>
  <c r="D323" i="126"/>
  <c r="D324" i="126"/>
  <c r="D325" i="126"/>
  <c r="D326" i="126"/>
  <c r="D327" i="126"/>
  <c r="D328" i="126"/>
  <c r="D329" i="126"/>
  <c r="D330" i="126"/>
  <c r="D331" i="126"/>
  <c r="D332" i="126"/>
  <c r="D333" i="126"/>
  <c r="E400" i="126"/>
  <c r="D417" i="126"/>
  <c r="C418" i="126"/>
  <c r="D418" i="126"/>
  <c r="D419" i="126"/>
  <c r="D420" i="126"/>
  <c r="D421" i="126"/>
  <c r="C422" i="126"/>
  <c r="D422" i="126" s="1"/>
  <c r="D423" i="126"/>
  <c r="D424" i="126"/>
  <c r="D425" i="126"/>
  <c r="D426" i="126"/>
  <c r="D427" i="126"/>
  <c r="D428" i="126"/>
  <c r="D429" i="126"/>
  <c r="D430" i="126"/>
  <c r="D431" i="126"/>
  <c r="D432" i="126"/>
  <c r="D433" i="126"/>
  <c r="E500" i="126"/>
  <c r="D517" i="126"/>
  <c r="C518" i="126"/>
  <c r="D518" i="126" s="1"/>
  <c r="D519" i="126"/>
  <c r="D520" i="126"/>
  <c r="D521" i="126"/>
  <c r="C522" i="126"/>
  <c r="D522" i="126" s="1"/>
  <c r="D523" i="126"/>
  <c r="D524" i="126"/>
  <c r="D525" i="126"/>
  <c r="D526" i="126"/>
  <c r="D527" i="126"/>
  <c r="D528" i="126"/>
  <c r="D529" i="126"/>
  <c r="D530" i="126"/>
  <c r="D531" i="126"/>
  <c r="D532" i="126"/>
  <c r="D533" i="126"/>
  <c r="E600" i="126"/>
  <c r="D617" i="126"/>
  <c r="C618" i="126"/>
  <c r="D618" i="126" s="1"/>
  <c r="D619" i="126"/>
  <c r="D620" i="126"/>
  <c r="D621" i="126"/>
  <c r="C622" i="126"/>
  <c r="D622" i="126" s="1"/>
  <c r="D623" i="126"/>
  <c r="D624" i="126"/>
  <c r="D625" i="126"/>
  <c r="D626" i="126"/>
  <c r="D627" i="126"/>
  <c r="D628" i="126"/>
  <c r="D629" i="126"/>
  <c r="D630" i="126"/>
  <c r="D631" i="126"/>
  <c r="D632" i="126"/>
  <c r="D633" i="126"/>
  <c r="E700" i="126"/>
  <c r="D717" i="126"/>
  <c r="C718" i="126"/>
  <c r="D718" i="126" s="1"/>
  <c r="D719" i="126"/>
  <c r="D720" i="126"/>
  <c r="D721" i="126"/>
  <c r="C722" i="126"/>
  <c r="D722" i="126" s="1"/>
  <c r="D723" i="126"/>
  <c r="D724" i="126"/>
  <c r="D725" i="126"/>
  <c r="D726" i="126"/>
  <c r="D727" i="126"/>
  <c r="D728" i="126"/>
  <c r="D729" i="126"/>
  <c r="D730" i="126"/>
  <c r="D731" i="126"/>
  <c r="D732" i="126"/>
  <c r="D733" i="126"/>
  <c r="E800" i="126"/>
  <c r="D817" i="126"/>
  <c r="C818" i="126"/>
  <c r="D818" i="126"/>
  <c r="D819" i="126"/>
  <c r="D820" i="126"/>
  <c r="D821" i="126"/>
  <c r="C822" i="126"/>
  <c r="D822" i="126" s="1"/>
  <c r="D823" i="126"/>
  <c r="D824" i="126"/>
  <c r="D825" i="126"/>
  <c r="D826" i="126"/>
  <c r="D827" i="126"/>
  <c r="D828" i="126"/>
  <c r="D829" i="126"/>
  <c r="D830" i="126"/>
  <c r="D831" i="126"/>
  <c r="D832" i="126"/>
  <c r="D833" i="126"/>
  <c r="E900" i="126"/>
  <c r="D917" i="126"/>
  <c r="C918" i="126"/>
  <c r="D918" i="126"/>
  <c r="D919" i="126"/>
  <c r="D920" i="126"/>
  <c r="D921" i="126"/>
  <c r="C922" i="126"/>
  <c r="D922" i="126" s="1"/>
  <c r="D923" i="126"/>
  <c r="D924" i="126"/>
  <c r="D925" i="126"/>
  <c r="D926" i="126"/>
  <c r="D927" i="126"/>
  <c r="D928" i="126"/>
  <c r="D929" i="126"/>
  <c r="D930" i="126"/>
  <c r="D931" i="126"/>
  <c r="D932" i="126"/>
  <c r="D933" i="126"/>
  <c r="E1000" i="126"/>
  <c r="D1017" i="126"/>
  <c r="C1018" i="126"/>
  <c r="D1018" i="126"/>
  <c r="D1019" i="126"/>
  <c r="D1020" i="126"/>
  <c r="D1021" i="126"/>
  <c r="C1022" i="126"/>
  <c r="D1022" i="126"/>
  <c r="D1023" i="126"/>
  <c r="D1024" i="126"/>
  <c r="D1025" i="126"/>
  <c r="D1026" i="126"/>
  <c r="D1027" i="126"/>
  <c r="D1028" i="126"/>
  <c r="D1029" i="126"/>
  <c r="D1030" i="126"/>
  <c r="D1031" i="126"/>
  <c r="D1032" i="126"/>
  <c r="D1033" i="126"/>
  <c r="E1" i="128"/>
  <c r="C57" i="128"/>
  <c r="C58" i="128"/>
  <c r="C59" i="128"/>
  <c r="E1" i="127"/>
  <c r="B17" i="127"/>
  <c r="E100" i="127"/>
  <c r="D125" i="127"/>
  <c r="C126" i="127"/>
  <c r="D126" i="127"/>
  <c r="D127" i="127"/>
  <c r="D128" i="127"/>
  <c r="D129" i="127"/>
  <c r="C130" i="127"/>
  <c r="D130" i="127" s="1"/>
  <c r="D131" i="127"/>
  <c r="D132" i="127"/>
  <c r="D133" i="127"/>
  <c r="D134" i="127"/>
  <c r="D135" i="127"/>
  <c r="D136" i="127"/>
  <c r="D137" i="127"/>
  <c r="D138" i="127"/>
  <c r="D139" i="127"/>
  <c r="D140" i="127"/>
  <c r="D141" i="127"/>
  <c r="E200" i="127"/>
  <c r="D228" i="127"/>
  <c r="C229" i="127"/>
  <c r="D229" i="127"/>
  <c r="D230" i="127"/>
  <c r="D231" i="127"/>
  <c r="D232" i="127"/>
  <c r="C233" i="127"/>
  <c r="D233" i="127" s="1"/>
  <c r="D234" i="127"/>
  <c r="D235" i="127"/>
  <c r="D236" i="127"/>
  <c r="D237" i="127"/>
  <c r="D238" i="127"/>
  <c r="D239" i="127"/>
  <c r="D240" i="127"/>
  <c r="D241" i="127"/>
  <c r="D242" i="127"/>
  <c r="D243" i="127"/>
  <c r="D244" i="127"/>
  <c r="E1" i="66"/>
  <c r="D17" i="66"/>
  <c r="D18" i="66"/>
  <c r="D19" i="66"/>
  <c r="D20" i="66"/>
  <c r="D21" i="66"/>
  <c r="D22" i="66"/>
  <c r="E100" i="66"/>
  <c r="D117" i="66"/>
  <c r="D118" i="66"/>
  <c r="D119" i="66"/>
  <c r="D120" i="66"/>
  <c r="D121" i="66"/>
  <c r="D122" i="66"/>
  <c r="E200" i="66"/>
  <c r="D217" i="66"/>
  <c r="D218" i="66"/>
  <c r="D219" i="66"/>
  <c r="D220" i="66"/>
  <c r="D221" i="66"/>
  <c r="D222" i="66"/>
  <c r="E1" i="104"/>
  <c r="E21" i="104"/>
  <c r="E100" i="104"/>
  <c r="D118" i="104"/>
  <c r="E200" i="104"/>
  <c r="E223" i="104"/>
  <c r="E300" i="104"/>
  <c r="E324" i="104"/>
  <c r="E400" i="104"/>
  <c r="D418" i="104"/>
  <c r="E500" i="104"/>
  <c r="D518" i="104"/>
  <c r="E600" i="104"/>
  <c r="C618" i="104"/>
  <c r="E700" i="104"/>
  <c r="C717" i="104"/>
  <c r="E1" i="103"/>
  <c r="E24" i="103"/>
  <c r="E100" i="103"/>
  <c r="F124" i="103"/>
  <c r="E200" i="103"/>
  <c r="F223" i="103"/>
  <c r="E300" i="103"/>
  <c r="F324" i="103"/>
  <c r="E400" i="103"/>
  <c r="F425" i="103"/>
  <c r="E500" i="103"/>
  <c r="F519" i="103"/>
  <c r="E600" i="103"/>
  <c r="E620" i="103"/>
  <c r="E1" i="125"/>
  <c r="B75" i="125"/>
  <c r="B76" i="125"/>
  <c r="B77" i="125"/>
  <c r="B78" i="125"/>
  <c r="E1" i="61"/>
  <c r="E19" i="61"/>
  <c r="E20" i="61"/>
  <c r="E21" i="61"/>
  <c r="E22" i="61"/>
  <c r="E23" i="61"/>
  <c r="E100" i="61"/>
  <c r="E116" i="61"/>
  <c r="E117" i="61"/>
  <c r="E119" i="61"/>
  <c r="E120" i="61"/>
  <c r="B132" i="61"/>
  <c r="B136" i="61" a="1"/>
  <c r="B136" i="61" s="1"/>
  <c r="B138" i="61" a="1"/>
  <c r="B138" i="61" s="1"/>
  <c r="E200" i="61"/>
  <c r="B222" i="61"/>
  <c r="C222" i="61"/>
  <c r="E1" i="110"/>
  <c r="G29" i="110"/>
  <c r="E100" i="110"/>
  <c r="G128" i="110"/>
  <c r="E200" i="110"/>
  <c r="F227" i="110"/>
  <c r="E1" i="106"/>
  <c r="H29" i="106"/>
  <c r="E100" i="106"/>
  <c r="H129" i="106"/>
  <c r="E200" i="106"/>
  <c r="H229" i="106"/>
  <c r="E1" i="107"/>
  <c r="E27" i="107"/>
  <c r="E28" i="107"/>
  <c r="E29" i="107"/>
  <c r="E30" i="107"/>
  <c r="E31" i="107"/>
  <c r="E32" i="107"/>
  <c r="E33" i="107"/>
  <c r="E34" i="107"/>
  <c r="E35" i="107"/>
  <c r="E100" i="107"/>
  <c r="E126" i="107"/>
  <c r="E127" i="107"/>
  <c r="E128" i="107"/>
  <c r="E129" i="107"/>
  <c r="E130" i="107"/>
  <c r="E131" i="107"/>
  <c r="E132" i="107"/>
  <c r="E133" i="107"/>
  <c r="E134" i="107"/>
  <c r="E200" i="107"/>
  <c r="E226" i="107"/>
  <c r="E227" i="107"/>
  <c r="E228" i="107"/>
  <c r="E229" i="107"/>
  <c r="E230" i="107"/>
  <c r="E231" i="107"/>
  <c r="E232" i="107"/>
  <c r="E233" i="107"/>
  <c r="E234" i="107"/>
  <c r="E300" i="107"/>
  <c r="E326" i="107"/>
  <c r="E327" i="107"/>
  <c r="E328" i="107"/>
  <c r="E329" i="107"/>
  <c r="E330" i="107"/>
  <c r="E331" i="107"/>
  <c r="E332" i="107"/>
  <c r="E333" i="107"/>
  <c r="E334" i="107"/>
  <c r="E400" i="107"/>
  <c r="E426" i="107"/>
  <c r="E427" i="107"/>
  <c r="E428" i="107"/>
  <c r="E429" i="107"/>
  <c r="E430" i="107"/>
  <c r="E431" i="107"/>
  <c r="E432" i="107"/>
  <c r="E433" i="107"/>
  <c r="E434" i="107"/>
  <c r="E500" i="107"/>
  <c r="E526" i="107"/>
  <c r="E527" i="107"/>
  <c r="E528" i="107"/>
  <c r="E529" i="107"/>
  <c r="E530" i="107"/>
  <c r="E531" i="107"/>
  <c r="E532" i="107"/>
  <c r="E533" i="107"/>
  <c r="E534" i="107"/>
  <c r="E1" i="108"/>
  <c r="G29" i="108"/>
  <c r="E100" i="108"/>
  <c r="G128" i="108"/>
  <c r="E1" i="95"/>
  <c r="E19" i="95"/>
  <c r="E100" i="95"/>
  <c r="E118" i="95"/>
  <c r="E1" i="120"/>
  <c r="D18" i="120"/>
  <c r="E100" i="120"/>
  <c r="D117" i="120"/>
  <c r="E200" i="120"/>
  <c r="D217" i="120"/>
  <c r="E1" i="121"/>
  <c r="D17" i="121"/>
  <c r="E100" i="121"/>
  <c r="D116" i="121"/>
  <c r="E200" i="121"/>
  <c r="D217" i="121"/>
  <c r="E1" i="119"/>
  <c r="D18" i="119"/>
  <c r="E100" i="119"/>
  <c r="D117" i="119"/>
  <c r="E1" i="117"/>
  <c r="B18" i="117"/>
  <c r="E100" i="117"/>
  <c r="B117" i="117"/>
  <c r="E1" i="94"/>
  <c r="G22" i="94"/>
  <c r="E100" i="94"/>
  <c r="G120" i="94"/>
  <c r="E200" i="94"/>
  <c r="G220" i="94"/>
  <c r="E300" i="94"/>
  <c r="H319" i="94"/>
  <c r="E400" i="94"/>
  <c r="C421" i="94"/>
  <c r="E500" i="94"/>
  <c r="E519" i="94"/>
  <c r="E600" i="94"/>
  <c r="E618" i="94"/>
  <c r="E700" i="94"/>
  <c r="C718" i="94"/>
  <c r="E800" i="94"/>
  <c r="C818" i="94"/>
  <c r="E1" i="116"/>
  <c r="B18" i="116"/>
  <c r="B19" i="116"/>
  <c r="B20" i="116"/>
  <c r="B21" i="116"/>
  <c r="E100" i="116"/>
  <c r="B117" i="116"/>
  <c r="E200" i="116"/>
  <c r="B217" i="116"/>
  <c r="B218" i="116"/>
  <c r="B219" i="116"/>
  <c r="E300" i="116"/>
  <c r="B317" i="116"/>
  <c r="B2" i="141"/>
  <c r="A3" i="141"/>
  <c r="B3" i="141"/>
  <c r="C3" i="141"/>
  <c r="D3" i="141"/>
  <c r="E3" i="141"/>
  <c r="F3" i="141"/>
  <c r="G3" i="141"/>
  <c r="H3" i="141"/>
  <c r="I3" i="141"/>
  <c r="J3" i="141"/>
  <c r="K3" i="141"/>
  <c r="L3" i="141"/>
  <c r="A4" i="141"/>
  <c r="B4" i="141"/>
  <c r="C4" i="141"/>
  <c r="D4" i="141"/>
  <c r="E4" i="141"/>
  <c r="F4" i="141"/>
  <c r="G4" i="141"/>
  <c r="H4" i="141"/>
  <c r="I4" i="141"/>
  <c r="J4" i="141"/>
  <c r="K4" i="141"/>
  <c r="L4" i="141"/>
  <c r="B5" i="141"/>
  <c r="M6" i="141"/>
  <c r="M7" i="141"/>
  <c r="M8" i="141"/>
  <c r="M9" i="141"/>
  <c r="M10" i="141"/>
  <c r="M11" i="141"/>
  <c r="M12" i="141"/>
  <c r="M13" i="141"/>
  <c r="M14" i="141"/>
  <c r="M15" i="141"/>
  <c r="M16" i="141"/>
  <c r="M17" i="141"/>
  <c r="M18" i="141"/>
  <c r="M19" i="141"/>
  <c r="M20" i="141"/>
  <c r="M21" i="141"/>
  <c r="M22" i="141"/>
  <c r="M23" i="141"/>
  <c r="M24" i="141"/>
  <c r="B26" i="141"/>
  <c r="M27" i="141"/>
  <c r="M28" i="141"/>
  <c r="M29" i="141"/>
  <c r="M30" i="141"/>
  <c r="M31" i="141"/>
  <c r="M32" i="141"/>
  <c r="M33" i="141"/>
  <c r="M34" i="141"/>
  <c r="M35" i="141"/>
  <c r="M36" i="141"/>
  <c r="M37" i="141"/>
  <c r="B39" i="141"/>
  <c r="M41" i="141"/>
  <c r="M42" i="141"/>
  <c r="M43" i="141"/>
  <c r="M44" i="141"/>
  <c r="M45" i="141"/>
  <c r="M46" i="141"/>
  <c r="M47" i="141"/>
  <c r="M48" i="141"/>
  <c r="M49" i="141"/>
  <c r="M50" i="141"/>
  <c r="M51" i="141"/>
  <c r="M52" i="141"/>
  <c r="M53" i="141"/>
  <c r="M54" i="141"/>
  <c r="M55" i="141"/>
  <c r="M56" i="141"/>
  <c r="M57" i="141"/>
  <c r="M58" i="141"/>
  <c r="M59" i="141"/>
  <c r="M60" i="141"/>
  <c r="M61" i="141"/>
  <c r="M62" i="141"/>
  <c r="M63" i="141"/>
  <c r="M64" i="141"/>
  <c r="M65" i="141"/>
  <c r="M66" i="141"/>
  <c r="M67" i="141"/>
  <c r="M68" i="141"/>
  <c r="M69" i="141"/>
  <c r="M70" i="141"/>
  <c r="M71" i="141"/>
  <c r="M72" i="141"/>
  <c r="M73" i="141"/>
  <c r="B75" i="141"/>
  <c r="M76" i="141"/>
  <c r="M77" i="141"/>
  <c r="M78" i="141"/>
  <c r="M79" i="141"/>
  <c r="M80" i="141"/>
  <c r="M81" i="141"/>
  <c r="M82" i="141"/>
  <c r="M83" i="141"/>
  <c r="M84" i="141"/>
  <c r="M85" i="141"/>
  <c r="M86" i="141"/>
  <c r="M87" i="141"/>
  <c r="M88" i="141"/>
  <c r="M89" i="141"/>
  <c r="M90" i="141"/>
  <c r="M91" i="141"/>
  <c r="M92" i="141"/>
  <c r="M93" i="141"/>
  <c r="M94" i="141"/>
  <c r="M95" i="141"/>
  <c r="M96" i="141"/>
  <c r="M97" i="141"/>
  <c r="M98" i="141"/>
  <c r="M99" i="141"/>
  <c r="M100" i="141"/>
  <c r="M101" i="141"/>
  <c r="M102" i="141"/>
  <c r="M103" i="141"/>
  <c r="M104" i="141"/>
  <c r="M105" i="141"/>
  <c r="B107" i="141"/>
  <c r="M108" i="141"/>
  <c r="M109" i="141"/>
  <c r="M110" i="141"/>
  <c r="M111" i="141"/>
  <c r="M112" i="141"/>
  <c r="M113" i="141"/>
  <c r="M114" i="141"/>
  <c r="M115" i="141"/>
  <c r="M116" i="141"/>
  <c r="M117" i="141"/>
  <c r="M118" i="141"/>
  <c r="B120" i="141"/>
  <c r="M121" i="141"/>
  <c r="M122" i="141"/>
  <c r="M123" i="141"/>
  <c r="M124" i="141"/>
  <c r="M125" i="141"/>
  <c r="M126" i="141"/>
  <c r="M127" i="141"/>
  <c r="M128" i="141"/>
  <c r="M129" i="141"/>
  <c r="M130" i="141"/>
  <c r="M131" i="141"/>
  <c r="M132" i="141"/>
  <c r="M133" i="141"/>
  <c r="M134" i="141"/>
  <c r="M135" i="141"/>
  <c r="M136" i="141"/>
  <c r="B138" i="141"/>
  <c r="M139" i="141"/>
  <c r="M140" i="141"/>
  <c r="M141" i="141"/>
  <c r="M142" i="141"/>
  <c r="M143" i="141"/>
  <c r="M144" i="141"/>
  <c r="M145" i="141"/>
  <c r="M146" i="141"/>
  <c r="M147" i="141"/>
  <c r="B149" i="141"/>
  <c r="M150" i="141"/>
  <c r="M151" i="141"/>
  <c r="M152" i="141"/>
  <c r="M153" i="141"/>
  <c r="M154" i="141"/>
  <c r="M155" i="141"/>
  <c r="M156" i="141"/>
  <c r="M157" i="141"/>
  <c r="B159" i="141"/>
  <c r="M160" i="141"/>
  <c r="M161" i="141"/>
  <c r="M162" i="141"/>
  <c r="M163" i="141"/>
  <c r="M164" i="141"/>
  <c r="M165" i="141"/>
  <c r="M166" i="141"/>
  <c r="M167" i="141"/>
  <c r="M168" i="141"/>
  <c r="M169" i="141"/>
  <c r="M170" i="141"/>
  <c r="M171" i="141"/>
  <c r="M172" i="141"/>
  <c r="M173" i="141"/>
  <c r="M174" i="141"/>
  <c r="M175" i="141"/>
  <c r="M176" i="141"/>
  <c r="M177" i="141"/>
  <c r="M178" i="141"/>
  <c r="M179" i="141"/>
  <c r="M180" i="141"/>
  <c r="M181" i="141"/>
  <c r="M182" i="141"/>
  <c r="M183" i="141"/>
  <c r="M184" i="141"/>
  <c r="M185" i="141"/>
  <c r="M186" i="141"/>
  <c r="M187" i="141"/>
  <c r="M188" i="141"/>
  <c r="M189" i="141"/>
  <c r="M190" i="141"/>
  <c r="M191" i="141"/>
  <c r="M192" i="141"/>
  <c r="M193" i="141"/>
  <c r="M194" i="141"/>
  <c r="M195" i="141"/>
  <c r="M196" i="141"/>
  <c r="M197" i="141"/>
  <c r="B199" i="141"/>
  <c r="B202" i="141"/>
  <c r="M203" i="141"/>
  <c r="B205" i="141"/>
  <c r="M206" i="141"/>
  <c r="M207" i="141"/>
  <c r="M208" i="141"/>
  <c r="M209" i="141"/>
  <c r="M210" i="141"/>
  <c r="M211" i="141"/>
  <c r="M212" i="141"/>
  <c r="M213" i="141"/>
  <c r="M214" i="141"/>
  <c r="M215" i="141"/>
  <c r="M216" i="141"/>
  <c r="M217" i="141"/>
  <c r="M218" i="141"/>
  <c r="M219" i="141"/>
  <c r="M220" i="141"/>
  <c r="M221" i="141"/>
  <c r="B223" i="141"/>
  <c r="M224" i="141"/>
  <c r="M225" i="141"/>
  <c r="M226" i="141"/>
  <c r="M227" i="141"/>
  <c r="M228" i="141"/>
  <c r="M229" i="141"/>
  <c r="M230" i="141"/>
  <c r="M231" i="141"/>
  <c r="M232" i="141"/>
  <c r="M233" i="141"/>
  <c r="M234" i="141"/>
  <c r="M235" i="141"/>
  <c r="M236" i="141"/>
  <c r="M237" i="141"/>
  <c r="M238" i="141"/>
  <c r="M239" i="141"/>
  <c r="M240" i="141"/>
  <c r="M241" i="141"/>
  <c r="M242" i="141"/>
  <c r="B244" i="141"/>
  <c r="M245" i="141"/>
  <c r="M246" i="141"/>
  <c r="M247" i="141"/>
  <c r="M248" i="141"/>
  <c r="M249" i="141"/>
  <c r="M250" i="141"/>
  <c r="M251" i="141"/>
  <c r="M252" i="141"/>
  <c r="M253" i="141"/>
  <c r="M254" i="141"/>
  <c r="M255" i="141"/>
  <c r="M256" i="141"/>
  <c r="M257" i="141"/>
  <c r="M258" i="141"/>
  <c r="B260" i="141"/>
  <c r="M261" i="141"/>
  <c r="M262" i="141"/>
  <c r="M263" i="141"/>
  <c r="M264" i="141"/>
  <c r="M265" i="141"/>
  <c r="M266" i="141"/>
  <c r="M267" i="141"/>
  <c r="M268" i="141"/>
  <c r="M269" i="141"/>
  <c r="M270" i="141"/>
  <c r="B272" i="141"/>
  <c r="M273" i="141"/>
  <c r="M274" i="141"/>
  <c r="M275" i="141"/>
  <c r="M276" i="141"/>
  <c r="M277" i="141"/>
  <c r="M278" i="141"/>
  <c r="M279" i="141"/>
  <c r="M280" i="141"/>
  <c r="M281" i="141"/>
  <c r="M282" i="141"/>
  <c r="M283" i="141"/>
  <c r="M284" i="141"/>
  <c r="M285" i="141"/>
  <c r="M286" i="141"/>
  <c r="M287" i="141"/>
  <c r="M288" i="141"/>
  <c r="B290" i="141"/>
  <c r="M291" i="141"/>
  <c r="M292" i="141"/>
  <c r="B294" i="141"/>
  <c r="M295" i="141"/>
  <c r="M296" i="141"/>
  <c r="M297" i="141"/>
  <c r="M298" i="141"/>
  <c r="M299" i="141"/>
  <c r="M300" i="141"/>
  <c r="M303" i="141"/>
  <c r="M304" i="141"/>
  <c r="M305" i="141"/>
  <c r="M306" i="141"/>
  <c r="M307" i="141"/>
  <c r="M308" i="141"/>
  <c r="M309" i="141"/>
  <c r="M310" i="141"/>
  <c r="M311" i="141"/>
  <c r="M312" i="141"/>
  <c r="M313" i="141"/>
  <c r="M314" i="141"/>
  <c r="M315" i="141"/>
  <c r="M316" i="141"/>
  <c r="M317" i="141"/>
  <c r="B319" i="141"/>
  <c r="M320" i="141"/>
  <c r="M321" i="141"/>
  <c r="M322" i="141"/>
  <c r="M323" i="141"/>
  <c r="M324" i="141"/>
  <c r="M325" i="141"/>
  <c r="M326" i="141"/>
  <c r="M327" i="141"/>
  <c r="M328" i="141"/>
  <c r="M329" i="141"/>
  <c r="M330" i="141"/>
  <c r="M331" i="141"/>
  <c r="M332" i="141"/>
  <c r="M333" i="141"/>
  <c r="M334" i="141"/>
  <c r="M335" i="141"/>
  <c r="M336" i="141"/>
  <c r="M337" i="141"/>
  <c r="M338" i="141"/>
  <c r="M339" i="141"/>
  <c r="M340" i="141"/>
  <c r="M341" i="141"/>
  <c r="M342" i="141"/>
  <c r="M343" i="141"/>
  <c r="M344" i="141"/>
  <c r="M345" i="141"/>
  <c r="M346" i="141"/>
  <c r="M347" i="141"/>
  <c r="M348" i="141"/>
  <c r="M349" i="141"/>
  <c r="B351" i="141"/>
  <c r="M352" i="141"/>
  <c r="M353" i="141"/>
  <c r="M354" i="141"/>
  <c r="M355" i="141"/>
  <c r="M356" i="141"/>
  <c r="M357" i="141"/>
  <c r="M358" i="141"/>
  <c r="M359" i="141"/>
  <c r="M360" i="141"/>
  <c r="M361" i="141"/>
  <c r="M362" i="141"/>
  <c r="M363" i="141"/>
  <c r="M364" i="141"/>
  <c r="M365" i="141"/>
  <c r="M366" i="141"/>
  <c r="M367" i="141"/>
  <c r="M368" i="141"/>
  <c r="M369" i="141"/>
  <c r="M370" i="141"/>
  <c r="M371" i="141"/>
  <c r="B373" i="141"/>
  <c r="M374" i="141"/>
  <c r="B376" i="141"/>
  <c r="M377" i="141"/>
  <c r="M378" i="141"/>
  <c r="M379" i="141"/>
  <c r="M380" i="141"/>
  <c r="M381" i="141"/>
  <c r="M382" i="141"/>
  <c r="M383" i="141"/>
  <c r="B385" i="141"/>
  <c r="M386" i="141"/>
  <c r="M387" i="141"/>
  <c r="M388" i="141"/>
  <c r="M389" i="141"/>
  <c r="B391" i="141"/>
  <c r="M392" i="141"/>
  <c r="M393" i="141"/>
  <c r="B395" i="141"/>
  <c r="M396" i="141"/>
  <c r="M397" i="141"/>
  <c r="M398" i="141"/>
  <c r="M399" i="141"/>
  <c r="M400" i="141"/>
  <c r="B402" i="141"/>
  <c r="M403" i="141"/>
  <c r="E1" i="130"/>
  <c r="B34" i="130"/>
  <c r="B35" i="130"/>
  <c r="E1" i="101"/>
  <c r="H21" i="101"/>
  <c r="E100" i="101"/>
  <c r="H120" i="101"/>
  <c r="E1" i="88"/>
  <c r="E19" i="88"/>
  <c r="E100" i="88"/>
  <c r="E119" i="88"/>
  <c r="E200" i="88"/>
  <c r="E218" i="88"/>
  <c r="E300" i="88"/>
  <c r="E319" i="88"/>
  <c r="E1" i="73"/>
  <c r="E19" i="73"/>
  <c r="E100" i="73"/>
  <c r="E118" i="73"/>
  <c r="E200" i="73"/>
  <c r="E218" i="73"/>
  <c r="E300" i="73"/>
  <c r="E319" i="73"/>
  <c r="E1" i="100"/>
  <c r="C20" i="100"/>
  <c r="D24" i="100"/>
  <c r="E100" i="100"/>
  <c r="E120" i="100"/>
  <c r="E200" i="100"/>
  <c r="C218" i="100"/>
  <c r="E1" i="47"/>
  <c r="F19" i="47"/>
  <c r="E100" i="47"/>
  <c r="F117" i="47" a="1"/>
  <c r="F117" i="47" s="1"/>
  <c r="G118" i="47"/>
  <c r="H119" i="47"/>
  <c r="E200" i="47"/>
  <c r="F216" i="47" a="1"/>
  <c r="G216" i="47" s="1"/>
  <c r="E1" i="42"/>
  <c r="F19" i="42"/>
  <c r="E100" i="42"/>
  <c r="C116" i="42"/>
  <c r="D116" i="42"/>
  <c r="E116" i="42"/>
  <c r="F116" i="42"/>
  <c r="G116" i="42"/>
  <c r="E200" i="42"/>
  <c r="C216" i="42"/>
  <c r="D216" i="42"/>
  <c r="E216" i="42"/>
  <c r="F216" i="42"/>
  <c r="G216" i="42"/>
  <c r="E1" i="89"/>
  <c r="E19" i="89"/>
  <c r="E100" i="89"/>
  <c r="E118" i="89"/>
  <c r="E1" i="60"/>
  <c r="B22" i="60"/>
  <c r="E100" i="60"/>
  <c r="E118" i="60"/>
  <c r="E200" i="60"/>
  <c r="F215" i="60"/>
  <c r="F216" i="60"/>
  <c r="F217" i="60"/>
  <c r="E1" i="3"/>
  <c r="E16" i="3"/>
  <c r="E17" i="3"/>
  <c r="E18" i="3"/>
  <c r="E25" i="3"/>
  <c r="E26" i="3"/>
  <c r="E27" i="3"/>
  <c r="E35" i="3"/>
  <c r="E36" i="3"/>
  <c r="E37" i="3"/>
  <c r="C39" i="3"/>
  <c r="F35" i="3" s="1"/>
  <c r="E100" i="3"/>
  <c r="E116" i="3"/>
  <c r="E117" i="3"/>
  <c r="E118" i="3"/>
  <c r="E200" i="3"/>
  <c r="C217" i="3"/>
  <c r="E300" i="3"/>
  <c r="C317" i="3"/>
  <c r="E400" i="3"/>
  <c r="E416" i="3"/>
  <c r="F416" i="3"/>
  <c r="G416" i="3"/>
  <c r="E417" i="3"/>
  <c r="F417" i="3"/>
  <c r="G417" i="3"/>
  <c r="E418" i="3"/>
  <c r="F418" i="3"/>
  <c r="G418" i="3"/>
  <c r="E500" i="3"/>
  <c r="C517" i="3"/>
  <c r="E600" i="3"/>
  <c r="C617" i="3"/>
  <c r="E700" i="3"/>
  <c r="C716" i="3"/>
  <c r="D716" i="3"/>
  <c r="C717" i="3"/>
  <c r="D717" i="3"/>
  <c r="C718" i="3"/>
  <c r="D718" i="3"/>
  <c r="C719" i="3"/>
  <c r="D719" i="3"/>
  <c r="C720" i="3"/>
  <c r="D720" i="3"/>
  <c r="C721" i="3"/>
  <c r="D721" i="3"/>
  <c r="C722" i="3"/>
  <c r="D722" i="3"/>
  <c r="C723" i="3"/>
  <c r="D723" i="3"/>
  <c r="C724" i="3"/>
  <c r="D724" i="3"/>
  <c r="C725" i="3"/>
  <c r="D725" i="3"/>
  <c r="C726" i="3"/>
  <c r="D726" i="3"/>
  <c r="C727" i="3"/>
  <c r="D727" i="3"/>
  <c r="C728" i="3"/>
  <c r="D728" i="3"/>
  <c r="C733" i="3"/>
  <c r="E1" i="22"/>
  <c r="D21" i="22"/>
  <c r="J21" i="22"/>
  <c r="D22" i="22"/>
  <c r="J22" i="22"/>
  <c r="D23" i="22"/>
  <c r="J23" i="22"/>
  <c r="E100" i="22"/>
  <c r="D114" i="22"/>
  <c r="D115" i="22"/>
  <c r="D116" i="22"/>
  <c r="B128" i="22"/>
  <c r="B129" i="22"/>
  <c r="B130" i="22"/>
  <c r="B131" i="22"/>
  <c r="E200" i="22"/>
  <c r="F216" i="22"/>
  <c r="F217" i="22"/>
  <c r="F218" i="22"/>
  <c r="E300" i="22"/>
  <c r="D314" i="22"/>
  <c r="E314" i="22"/>
  <c r="D315" i="22"/>
  <c r="E315" i="22"/>
  <c r="D316" i="22"/>
  <c r="E316" i="22"/>
  <c r="D317" i="22"/>
  <c r="E317" i="22"/>
  <c r="D318" i="22"/>
  <c r="E318" i="22"/>
  <c r="D319" i="22"/>
  <c r="E319" i="22"/>
  <c r="E1" i="80"/>
  <c r="G19" i="80"/>
  <c r="G20" i="80"/>
  <c r="B39" i="80"/>
  <c r="E37" i="80" s="1"/>
  <c r="B45" i="80"/>
  <c r="B46" i="80"/>
  <c r="E100" i="80"/>
  <c r="B120" i="80"/>
  <c r="B126" i="80"/>
  <c r="B127" i="80"/>
  <c r="E200" i="80"/>
  <c r="B220" i="80"/>
  <c r="E218" i="80" s="1"/>
  <c r="B226" i="80"/>
  <c r="B227" i="80"/>
  <c r="E1" i="136"/>
  <c r="G22" i="136"/>
  <c r="E100" i="136"/>
  <c r="G121" i="136"/>
  <c r="E1" i="84"/>
  <c r="E19" i="84"/>
  <c r="H19" i="84" s="1"/>
  <c r="E21" i="84"/>
  <c r="E22" i="84"/>
  <c r="E23" i="84"/>
  <c r="E24" i="84"/>
  <c r="E25" i="84"/>
  <c r="H25" i="84"/>
  <c r="E26" i="84"/>
  <c r="E27" i="84"/>
  <c r="E100" i="84"/>
  <c r="E118" i="84"/>
  <c r="H119" i="84" s="1"/>
  <c r="E120" i="84"/>
  <c r="H120" i="84"/>
  <c r="E121" i="84"/>
  <c r="E122" i="84"/>
  <c r="H122" i="84"/>
  <c r="E123" i="84"/>
  <c r="E124" i="84"/>
  <c r="H124" i="84"/>
  <c r="E125" i="84"/>
  <c r="E126" i="84"/>
  <c r="H126" i="84"/>
  <c r="E200" i="84"/>
  <c r="E218" i="84"/>
  <c r="F218" i="84"/>
  <c r="J218" i="84"/>
  <c r="F219" i="84"/>
  <c r="J219" i="84"/>
  <c r="E220" i="84"/>
  <c r="F220" i="84"/>
  <c r="J220" i="84"/>
  <c r="E221" i="84"/>
  <c r="E222" i="84"/>
  <c r="F222" i="84"/>
  <c r="E223" i="84"/>
  <c r="J223" i="84" s="1"/>
  <c r="E224" i="84"/>
  <c r="E225" i="84"/>
  <c r="F225" i="84" s="1"/>
  <c r="E226" i="84"/>
  <c r="F226" i="84" s="1"/>
  <c r="E1" i="92"/>
  <c r="E18" i="92"/>
  <c r="E100" i="92"/>
  <c r="E117" i="92"/>
  <c r="E200" i="92"/>
  <c r="E217" i="92"/>
  <c r="E1" i="44"/>
  <c r="B17" i="44"/>
  <c r="E100" i="44"/>
  <c r="C117" i="44"/>
  <c r="D117" i="44"/>
  <c r="E117" i="44"/>
  <c r="F117" i="44"/>
  <c r="G117" i="44"/>
  <c r="H117" i="44"/>
  <c r="E200" i="44"/>
  <c r="C217" i="44"/>
  <c r="D217" i="44"/>
  <c r="E217" i="44"/>
  <c r="F217" i="44"/>
  <c r="G217" i="44"/>
  <c r="H217" i="44"/>
  <c r="E1" i="114"/>
  <c r="E19" i="114"/>
  <c r="E100" i="114"/>
  <c r="G120" i="114"/>
  <c r="E200" i="114"/>
  <c r="B224" i="114"/>
  <c r="B225" i="114"/>
  <c r="B226" i="114"/>
  <c r="B227" i="114"/>
  <c r="B228" i="114"/>
  <c r="E300" i="114"/>
  <c r="B325" i="114"/>
  <c r="B326" i="114"/>
  <c r="B327" i="114"/>
  <c r="B328" i="114"/>
  <c r="B329" i="114"/>
  <c r="B330" i="114"/>
  <c r="E400" i="114"/>
  <c r="B422" i="114"/>
  <c r="B423" i="114"/>
  <c r="E500" i="114"/>
  <c r="B529" i="114"/>
  <c r="E600" i="114"/>
  <c r="B629" i="114"/>
  <c r="E1" i="74"/>
  <c r="F17" i="74"/>
  <c r="F18" i="74"/>
  <c r="F19" i="74"/>
  <c r="F20" i="74"/>
  <c r="F21" i="74"/>
  <c r="F22" i="74"/>
  <c r="E100" i="74"/>
  <c r="D116" i="74"/>
  <c r="D117" i="74"/>
  <c r="F125" i="74"/>
  <c r="G125" i="74" s="1"/>
  <c r="F126" i="74"/>
  <c r="G126" i="74" s="1"/>
  <c r="F127" i="74"/>
  <c r="G127" i="74" s="1"/>
  <c r="F128" i="74"/>
  <c r="G128" i="74" s="1"/>
  <c r="F129" i="74"/>
  <c r="G129" i="74" s="1"/>
  <c r="F130" i="74"/>
  <c r="G130" i="74" s="1"/>
  <c r="F131" i="74"/>
  <c r="G131" i="74" s="1"/>
  <c r="F132" i="74"/>
  <c r="G132" i="74" s="1"/>
  <c r="F133" i="74"/>
  <c r="G133" i="74" s="1"/>
  <c r="F134" i="74"/>
  <c r="G134" i="74" s="1"/>
  <c r="E200" i="74"/>
  <c r="E216" i="74"/>
  <c r="C218" i="74"/>
  <c r="E218" i="74" s="1"/>
  <c r="E1" i="69"/>
  <c r="D17" i="69"/>
  <c r="D18" i="69"/>
  <c r="D19" i="69"/>
  <c r="D20" i="69"/>
  <c r="D21" i="69"/>
  <c r="E100" i="69"/>
  <c r="B109" i="69"/>
  <c r="B110" i="69"/>
  <c r="E200" i="69"/>
  <c r="D217" i="69"/>
  <c r="D218" i="69"/>
  <c r="D219" i="69"/>
  <c r="D220" i="69"/>
  <c r="D221" i="69"/>
  <c r="E300" i="69"/>
  <c r="B309" i="69"/>
  <c r="B310" i="69"/>
  <c r="E1" i="115"/>
  <c r="B17" i="115"/>
  <c r="B18" i="115"/>
  <c r="B19" i="115"/>
  <c r="E100" i="115"/>
  <c r="B116" i="115"/>
  <c r="B117" i="115"/>
  <c r="E200" i="115"/>
  <c r="B217" i="115"/>
  <c r="B218" i="115"/>
  <c r="B219" i="115"/>
  <c r="E300" i="115"/>
  <c r="B317" i="115"/>
  <c r="B318" i="115"/>
  <c r="E400" i="115"/>
  <c r="B417" i="115"/>
  <c r="B418" i="115"/>
  <c r="E500" i="115"/>
  <c r="B517" i="115"/>
  <c r="B518" i="115"/>
  <c r="E600" i="115"/>
  <c r="B617" i="115"/>
  <c r="B618" i="115"/>
  <c r="E700" i="115"/>
  <c r="B717" i="115"/>
  <c r="B718" i="115"/>
  <c r="E800" i="115"/>
  <c r="B817" i="115"/>
  <c r="B818" i="115"/>
  <c r="E900" i="115"/>
  <c r="B917" i="115"/>
  <c r="B918" i="115"/>
  <c r="B919" i="115"/>
  <c r="E1000" i="115"/>
  <c r="B1017" i="115"/>
  <c r="B1018" i="115"/>
  <c r="B1019" i="115"/>
  <c r="E1100" i="115"/>
  <c r="B1117" i="115"/>
  <c r="B1118" i="115"/>
  <c r="B1119" i="115"/>
  <c r="E1" i="118"/>
  <c r="B18" i="118"/>
  <c r="E100" i="118"/>
  <c r="B117" i="118"/>
  <c r="E200" i="118"/>
  <c r="B217" i="118"/>
  <c r="B218" i="118"/>
  <c r="E300" i="118"/>
  <c r="B317" i="118"/>
  <c r="E1" i="87"/>
  <c r="D19" i="87"/>
  <c r="E100" i="87"/>
  <c r="D118" i="87"/>
  <c r="E200" i="87"/>
  <c r="G218" i="87"/>
  <c r="C224" i="87"/>
  <c r="D224" i="87"/>
  <c r="E224" i="87"/>
  <c r="E1" i="132"/>
  <c r="G22" i="132"/>
  <c r="E100" i="132"/>
  <c r="G121" i="132"/>
  <c r="E1" i="134"/>
  <c r="G22" i="134"/>
  <c r="E100" i="134"/>
  <c r="G122" i="134"/>
  <c r="E200" i="134"/>
  <c r="G221" i="134"/>
  <c r="E1" i="133"/>
  <c r="G23" i="133"/>
  <c r="E100" i="133"/>
  <c r="G121" i="133"/>
  <c r="E1" i="112"/>
  <c r="E19" i="112"/>
  <c r="E100" i="112"/>
  <c r="E118" i="112"/>
  <c r="E200" i="112"/>
  <c r="E218" i="112"/>
  <c r="E1" i="113"/>
  <c r="B17" i="113"/>
  <c r="B18" i="113"/>
  <c r="E100" i="113"/>
  <c r="B116" i="113"/>
  <c r="B117" i="113"/>
  <c r="E4" i="1"/>
  <c r="E5" i="1"/>
  <c r="E6" i="1"/>
  <c r="E7" i="1"/>
  <c r="E8" i="1"/>
  <c r="E9" i="1"/>
  <c r="E10" i="1"/>
  <c r="E11" i="1"/>
  <c r="E12" i="1"/>
  <c r="E13" i="1"/>
  <c r="E14" i="1"/>
  <c r="E15" i="1"/>
  <c r="E16" i="1"/>
  <c r="A22" i="1"/>
  <c r="D24" i="1"/>
  <c r="D25" i="1"/>
  <c r="D26" i="1"/>
  <c r="D28" i="1"/>
  <c r="D29" i="1"/>
  <c r="D30" i="1"/>
  <c r="D32" i="1"/>
  <c r="D34" i="1"/>
  <c r="D36" i="1"/>
  <c r="D37" i="1"/>
  <c r="D39" i="1"/>
  <c r="D40" i="1"/>
  <c r="D42" i="1"/>
  <c r="D43" i="1"/>
  <c r="D45" i="1"/>
  <c r="D46" i="1"/>
  <c r="D47" i="1"/>
  <c r="D48" i="1"/>
  <c r="D50" i="1"/>
  <c r="D51" i="1"/>
  <c r="D52" i="1"/>
  <c r="A53" i="1"/>
  <c r="D55" i="1"/>
  <c r="D56" i="1"/>
  <c r="D57" i="1"/>
  <c r="D59" i="1"/>
  <c r="D60" i="1"/>
  <c r="D61" i="1"/>
  <c r="D63" i="1"/>
  <c r="D64" i="1"/>
  <c r="D65" i="1"/>
  <c r="D67" i="1"/>
  <c r="D69" i="1"/>
  <c r="D70" i="1"/>
  <c r="D71" i="1"/>
  <c r="D72" i="1"/>
  <c r="D73" i="1"/>
  <c r="D74" i="1"/>
  <c r="D75" i="1"/>
  <c r="D76" i="1"/>
  <c r="D77" i="1"/>
  <c r="D78" i="1"/>
  <c r="D80" i="1"/>
  <c r="D81" i="1"/>
  <c r="D83" i="1"/>
  <c r="D84" i="1"/>
  <c r="D86" i="1"/>
  <c r="D87" i="1"/>
  <c r="D89" i="1"/>
  <c r="D90" i="1"/>
  <c r="D91" i="1"/>
  <c r="D92" i="1"/>
  <c r="D93" i="1"/>
  <c r="D95" i="1"/>
  <c r="D97" i="1"/>
  <c r="D98" i="1"/>
  <c r="D100" i="1"/>
  <c r="D101" i="1"/>
  <c r="D103" i="1"/>
  <c r="D104" i="1"/>
  <c r="D105" i="1"/>
  <c r="D107" i="1"/>
  <c r="D109" i="1"/>
  <c r="D110" i="1"/>
  <c r="D112" i="1"/>
  <c r="D113" i="1"/>
  <c r="D114" i="1"/>
  <c r="D116" i="1"/>
  <c r="D117" i="1"/>
  <c r="D118" i="1"/>
  <c r="D119" i="1"/>
  <c r="D121" i="1"/>
  <c r="D122" i="1"/>
  <c r="D123" i="1"/>
  <c r="D125" i="1"/>
  <c r="D126" i="1"/>
  <c r="D127" i="1"/>
  <c r="D129" i="1"/>
  <c r="D130" i="1"/>
  <c r="D131" i="1"/>
  <c r="D133" i="1"/>
  <c r="D134" i="1"/>
  <c r="A135" i="1"/>
  <c r="D137" i="1"/>
  <c r="D139" i="1"/>
  <c r="D140" i="1"/>
  <c r="D142" i="1"/>
  <c r="D144" i="1"/>
  <c r="D145" i="1"/>
  <c r="A146" i="1"/>
  <c r="D148" i="1"/>
  <c r="D149" i="1"/>
  <c r="D150" i="1"/>
  <c r="D151" i="1"/>
  <c r="D153" i="1"/>
  <c r="D154" i="1"/>
  <c r="D155" i="1"/>
  <c r="D156" i="1"/>
  <c r="D158" i="1"/>
  <c r="D160" i="1"/>
  <c r="D162" i="1"/>
  <c r="D163" i="1"/>
  <c r="D164" i="1"/>
  <c r="D166" i="1"/>
  <c r="D167" i="1"/>
  <c r="D168" i="1"/>
  <c r="D170" i="1"/>
  <c r="D172" i="1"/>
  <c r="D174" i="1"/>
  <c r="A175" i="1"/>
  <c r="D177" i="1"/>
  <c r="D178" i="1"/>
  <c r="D180" i="1"/>
  <c r="D181" i="1"/>
  <c r="D182" i="1"/>
  <c r="D184" i="1"/>
  <c r="D186" i="1"/>
  <c r="D187" i="1"/>
  <c r="D189" i="1"/>
  <c r="D191" i="1"/>
  <c r="D192" i="1"/>
  <c r="D193" i="1"/>
  <c r="D194" i="1"/>
  <c r="D195" i="1"/>
  <c r="D196" i="1"/>
  <c r="D198" i="1"/>
  <c r="D199" i="1"/>
  <c r="D200" i="1"/>
  <c r="D201" i="1"/>
  <c r="D203" i="1"/>
  <c r="D204" i="1"/>
  <c r="D205" i="1"/>
  <c r="D207" i="1"/>
  <c r="D208" i="1"/>
  <c r="D210" i="1"/>
  <c r="D211" i="1"/>
  <c r="D213" i="1"/>
  <c r="D214" i="1"/>
  <c r="D215" i="1"/>
  <c r="D216" i="1"/>
  <c r="D217" i="1"/>
  <c r="D219" i="1"/>
  <c r="D221" i="1"/>
  <c r="D223" i="1"/>
  <c r="D225" i="1"/>
  <c r="D227" i="1"/>
  <c r="A228" i="1"/>
  <c r="D230" i="1"/>
  <c r="D231" i="1"/>
  <c r="D232" i="1"/>
  <c r="D234" i="1"/>
  <c r="D235" i="1"/>
  <c r="D236" i="1"/>
  <c r="D237" i="1"/>
  <c r="D238" i="1"/>
  <c r="D240" i="1"/>
  <c r="D241" i="1"/>
  <c r="D243" i="1"/>
  <c r="D244" i="1"/>
  <c r="D245" i="1"/>
  <c r="D246" i="1"/>
  <c r="D248" i="1"/>
  <c r="D249" i="1"/>
  <c r="D250" i="1"/>
  <c r="D252" i="1"/>
  <c r="D254" i="1"/>
  <c r="D255" i="1"/>
  <c r="D256" i="1"/>
  <c r="D258" i="1"/>
  <c r="D259" i="1"/>
  <c r="D260" i="1"/>
  <c r="D261" i="1"/>
  <c r="D263" i="1"/>
  <c r="D264" i="1"/>
  <c r="D265" i="1"/>
  <c r="D266" i="1"/>
  <c r="D268" i="1"/>
  <c r="D269" i="1"/>
  <c r="D271" i="1"/>
  <c r="D273" i="1"/>
  <c r="D274" i="1"/>
  <c r="D276" i="1"/>
  <c r="D277" i="1"/>
  <c r="D278" i="1"/>
  <c r="D279" i="1"/>
  <c r="D280" i="1"/>
  <c r="D281" i="1"/>
  <c r="D282" i="1"/>
  <c r="D284" i="1"/>
  <c r="D285" i="1"/>
  <c r="D287" i="1"/>
  <c r="D288" i="1"/>
  <c r="D289" i="1"/>
  <c r="D291" i="1"/>
  <c r="D293" i="1"/>
  <c r="D295" i="1"/>
  <c r="D296" i="1"/>
  <c r="D297" i="1"/>
  <c r="D299" i="1"/>
  <c r="D301" i="1"/>
  <c r="D303" i="1"/>
  <c r="D304" i="1"/>
  <c r="D305" i="1"/>
  <c r="D306" i="1"/>
  <c r="D308" i="1"/>
  <c r="D309" i="1"/>
  <c r="D311" i="1"/>
  <c r="D312" i="1"/>
  <c r="D313" i="1"/>
  <c r="D315" i="1"/>
  <c r="D316" i="1"/>
  <c r="D317" i="1"/>
  <c r="D319" i="1"/>
  <c r="D321" i="1"/>
  <c r="D322" i="1"/>
  <c r="D323" i="1"/>
  <c r="D325" i="1"/>
  <c r="D326" i="1"/>
  <c r="D328" i="1"/>
  <c r="D330" i="1"/>
  <c r="D331" i="1"/>
  <c r="D332" i="1"/>
  <c r="D334" i="1"/>
  <c r="D335" i="1"/>
  <c r="D337" i="1"/>
  <c r="A338" i="1"/>
  <c r="D340" i="1"/>
  <c r="D342" i="1"/>
  <c r="D343" i="1"/>
  <c r="D345" i="1"/>
  <c r="D346" i="1"/>
  <c r="D347" i="1"/>
  <c r="D349" i="1"/>
  <c r="D351" i="1"/>
  <c r="D352" i="1"/>
  <c r="D354" i="1"/>
  <c r="D356" i="1"/>
  <c r="D358" i="1"/>
  <c r="D359" i="1"/>
  <c r="D361" i="1"/>
  <c r="D362" i="1"/>
  <c r="D364" i="1"/>
  <c r="D365" i="1"/>
  <c r="D366" i="1"/>
  <c r="D368" i="1"/>
  <c r="D369" i="1"/>
  <c r="D370" i="1"/>
  <c r="D372" i="1"/>
  <c r="D373" i="1"/>
  <c r="D374" i="1"/>
  <c r="D375" i="1"/>
  <c r="D376" i="1"/>
  <c r="D377" i="1"/>
  <c r="D379" i="1"/>
  <c r="D380" i="1"/>
  <c r="D382" i="1"/>
  <c r="D383" i="1"/>
  <c r="D385" i="1"/>
  <c r="D386" i="1"/>
  <c r="D388" i="1"/>
  <c r="D389" i="1"/>
  <c r="D390" i="1"/>
  <c r="D392" i="1"/>
  <c r="D393" i="1"/>
  <c r="D394" i="1"/>
  <c r="D395" i="1"/>
  <c r="D396" i="1"/>
  <c r="D398" i="1"/>
  <c r="D399" i="1"/>
  <c r="D400" i="1"/>
  <c r="D402" i="1"/>
  <c r="D403" i="1"/>
  <c r="D405" i="1"/>
  <c r="D407" i="1"/>
  <c r="D409" i="1"/>
  <c r="D410" i="1"/>
  <c r="D412" i="1"/>
  <c r="D414" i="1"/>
  <c r="D415" i="1"/>
  <c r="A416" i="1"/>
  <c r="D419" i="1"/>
  <c r="D420" i="1"/>
  <c r="D421" i="1"/>
  <c r="D422" i="1"/>
  <c r="D423" i="1"/>
  <c r="D424" i="1"/>
  <c r="D425" i="1"/>
  <c r="D426" i="1"/>
  <c r="D427" i="1"/>
  <c r="D428" i="1"/>
  <c r="D429" i="1"/>
  <c r="D430" i="1"/>
  <c r="D432" i="1"/>
  <c r="D433" i="1"/>
  <c r="D434" i="1"/>
  <c r="D435" i="1"/>
  <c r="D437" i="1"/>
  <c r="D438" i="1"/>
  <c r="D440" i="1"/>
  <c r="D441" i="1"/>
  <c r="D442" i="1"/>
  <c r="D443" i="1"/>
  <c r="D445" i="1"/>
  <c r="D447" i="1"/>
  <c r="D448" i="1"/>
  <c r="D450" i="1"/>
  <c r="D451" i="1"/>
  <c r="D452" i="1"/>
  <c r="D454" i="1"/>
  <c r="D455" i="1"/>
  <c r="D457" i="1"/>
  <c r="D458" i="1"/>
  <c r="D459" i="1"/>
  <c r="D460" i="1"/>
  <c r="D462" i="1"/>
  <c r="D463" i="1"/>
  <c r="D465" i="1"/>
  <c r="D466" i="1"/>
  <c r="D468" i="1"/>
  <c r="A469" i="1"/>
  <c r="D471" i="1"/>
  <c r="D472" i="1"/>
  <c r="D473" i="1"/>
  <c r="D474" i="1"/>
  <c r="D475" i="1"/>
  <c r="D476" i="1"/>
  <c r="D477" i="1"/>
  <c r="D478" i="1"/>
  <c r="D479" i="1"/>
  <c r="D480" i="1"/>
  <c r="D481" i="1"/>
  <c r="D483" i="1"/>
  <c r="D485" i="1"/>
  <c r="D486" i="1"/>
  <c r="D488" i="1"/>
  <c r="D490" i="1"/>
  <c r="D492" i="1"/>
  <c r="A493" i="1"/>
  <c r="D495" i="1"/>
  <c r="D496" i="1"/>
  <c r="D498" i="1"/>
  <c r="D499" i="1"/>
  <c r="D501" i="1"/>
  <c r="D502" i="1"/>
  <c r="D503" i="1"/>
  <c r="D505" i="1"/>
  <c r="D507" i="1"/>
  <c r="D508" i="1"/>
  <c r="D510" i="1"/>
  <c r="D511" i="1"/>
  <c r="D513" i="1"/>
  <c r="A515" i="1"/>
  <c r="D517" i="1"/>
  <c r="D518" i="1"/>
  <c r="E1" i="105"/>
  <c r="D24" i="105"/>
  <c r="E100" i="105"/>
  <c r="D122" i="105"/>
  <c r="E200" i="105"/>
  <c r="D226" i="105"/>
  <c r="E1" i="50"/>
  <c r="E19" i="50"/>
  <c r="I19" i="50"/>
  <c r="E20" i="50"/>
  <c r="I20" i="50"/>
  <c r="E21" i="50"/>
  <c r="I21" i="50"/>
  <c r="E22" i="50"/>
  <c r="I22" i="50"/>
  <c r="E23" i="50"/>
  <c r="I23" i="50"/>
  <c r="E24" i="50"/>
  <c r="I24" i="50"/>
  <c r="E25" i="50"/>
  <c r="I25" i="50"/>
  <c r="E26" i="50"/>
  <c r="I26" i="50"/>
  <c r="E27" i="50"/>
  <c r="I27" i="50"/>
  <c r="E28" i="50"/>
  <c r="I28" i="50"/>
  <c r="E37" i="50"/>
  <c r="E38" i="50"/>
  <c r="E39" i="50"/>
  <c r="E40" i="50"/>
  <c r="E41" i="50"/>
  <c r="E42" i="50"/>
  <c r="E43" i="50"/>
  <c r="E44" i="50"/>
  <c r="E45" i="50"/>
  <c r="E46" i="50"/>
  <c r="E100" i="50"/>
  <c r="E118" i="50"/>
  <c r="I118" i="50"/>
  <c r="E119" i="50"/>
  <c r="I119" i="50"/>
  <c r="E120" i="50"/>
  <c r="I120" i="50"/>
  <c r="E121" i="50"/>
  <c r="I121" i="50"/>
  <c r="E122" i="50"/>
  <c r="I122" i="50"/>
  <c r="E123" i="50"/>
  <c r="I123" i="50"/>
  <c r="E124" i="50"/>
  <c r="I124" i="50"/>
  <c r="E125" i="50"/>
  <c r="I125" i="50"/>
  <c r="E126" i="50"/>
  <c r="I126" i="50"/>
  <c r="E127" i="50"/>
  <c r="I127" i="50"/>
  <c r="E136" i="50"/>
  <c r="E137" i="50"/>
  <c r="E138" i="50"/>
  <c r="E139" i="50"/>
  <c r="E140" i="50"/>
  <c r="E141" i="50"/>
  <c r="E142" i="50"/>
  <c r="E143" i="50"/>
  <c r="E144" i="50"/>
  <c r="E145" i="50"/>
  <c r="E200" i="50"/>
  <c r="E218" i="50"/>
  <c r="E219" i="50"/>
  <c r="E220" i="50"/>
  <c r="E221" i="50"/>
  <c r="E222" i="50"/>
  <c r="E223" i="50"/>
  <c r="E224" i="50"/>
  <c r="E225" i="50"/>
  <c r="E226" i="50"/>
  <c r="E227" i="50"/>
  <c r="E1" i="81"/>
  <c r="B21" i="81"/>
  <c r="E18" i="81" s="1"/>
  <c r="E26" i="81"/>
  <c r="B28" i="81"/>
  <c r="E22" i="81" s="1"/>
  <c r="B29" i="81"/>
  <c r="E100" i="81"/>
  <c r="E117" i="81"/>
  <c r="B120" i="81"/>
  <c r="B127" i="81"/>
  <c r="E123" i="81" s="1"/>
  <c r="B128" i="81"/>
  <c r="E200" i="81"/>
  <c r="B220" i="81"/>
  <c r="E217" i="81" s="1"/>
  <c r="B227" i="81"/>
  <c r="E219" i="81" s="1"/>
  <c r="B228" i="81"/>
  <c r="E300" i="81"/>
  <c r="D320" i="81"/>
  <c r="C324" i="81" s="1"/>
  <c r="C326" i="81" s="1"/>
  <c r="C321" i="81"/>
  <c r="E1" i="109"/>
  <c r="J32" i="109"/>
  <c r="E100" i="109"/>
  <c r="J131" i="109"/>
  <c r="E200" i="109"/>
  <c r="I230" i="109"/>
  <c r="E300" i="109"/>
  <c r="I330" i="109"/>
  <c r="E1" i="65"/>
  <c r="B18" i="65"/>
  <c r="E100" i="65"/>
  <c r="B119" i="65"/>
  <c r="E1" i="45"/>
  <c r="C17" i="45"/>
  <c r="C18" i="45"/>
  <c r="C19" i="45"/>
  <c r="C20" i="45"/>
  <c r="C21" i="45"/>
  <c r="C22" i="45"/>
  <c r="C23" i="45"/>
  <c r="C24" i="45"/>
  <c r="C25" i="45"/>
  <c r="C26" i="45"/>
  <c r="E100" i="45"/>
  <c r="C116" i="45"/>
  <c r="C117" i="45"/>
  <c r="C118" i="45"/>
  <c r="C119" i="45"/>
  <c r="C120" i="45"/>
  <c r="C121" i="45"/>
  <c r="C122" i="45"/>
  <c r="C123" i="45"/>
  <c r="C124" i="45"/>
  <c r="C125" i="45"/>
  <c r="E200" i="45"/>
  <c r="C216" i="45"/>
  <c r="C217" i="45"/>
  <c r="C218" i="45"/>
  <c r="C219" i="45"/>
  <c r="C220" i="45"/>
  <c r="C221" i="45"/>
  <c r="C222" i="45"/>
  <c r="C223" i="45"/>
  <c r="C224" i="45"/>
  <c r="C225" i="45"/>
  <c r="C226" i="45"/>
  <c r="C227" i="45"/>
  <c r="C228" i="45"/>
  <c r="C229" i="45"/>
  <c r="C230" i="45"/>
  <c r="C231" i="45"/>
  <c r="C232" i="45"/>
  <c r="E300" i="45"/>
  <c r="C317" i="45"/>
  <c r="D317" i="45"/>
  <c r="E317" i="45"/>
  <c r="F317" i="45"/>
  <c r="G317" i="45"/>
  <c r="H317" i="45"/>
  <c r="I317" i="45"/>
  <c r="E400" i="45"/>
  <c r="C417" i="45"/>
  <c r="D417" i="45"/>
  <c r="E417" i="45"/>
  <c r="F417" i="45"/>
  <c r="G417" i="45"/>
  <c r="H417" i="45"/>
  <c r="I417" i="45"/>
  <c r="E500" i="45"/>
  <c r="C517" i="45"/>
  <c r="D517" i="45"/>
  <c r="E517" i="45"/>
  <c r="F517" i="45"/>
  <c r="G517" i="45"/>
  <c r="H517" i="45"/>
  <c r="I517" i="45"/>
  <c r="E600" i="45"/>
  <c r="C618" i="45"/>
  <c r="D618" i="45"/>
  <c r="E618" i="45"/>
  <c r="F618" i="45"/>
  <c r="G618" i="45"/>
  <c r="H618" i="45"/>
  <c r="I618" i="45"/>
  <c r="E1" i="71"/>
  <c r="D17" i="71"/>
  <c r="D18" i="71"/>
  <c r="D19" i="71"/>
  <c r="E100" i="71"/>
  <c r="E1" i="38"/>
  <c r="D16" i="38"/>
  <c r="D17" i="38"/>
  <c r="D18" i="38"/>
  <c r="D19" i="38"/>
  <c r="D20" i="38"/>
  <c r="D21" i="38"/>
  <c r="D22" i="38"/>
  <c r="E100" i="38"/>
  <c r="D116" i="38"/>
  <c r="D117" i="38"/>
  <c r="D118" i="38"/>
  <c r="D119" i="38"/>
  <c r="D120" i="38"/>
  <c r="C127" i="38"/>
  <c r="D127" i="38" s="1"/>
  <c r="C128" i="38"/>
  <c r="D128" i="38" s="1"/>
  <c r="C129" i="38"/>
  <c r="D129" i="38" s="1"/>
  <c r="C130" i="38"/>
  <c r="D130" i="38" s="1"/>
  <c r="C131" i="38"/>
  <c r="D131" i="38" s="1"/>
  <c r="C132" i="38"/>
  <c r="D132" i="38" s="1"/>
  <c r="C133" i="38"/>
  <c r="D133" i="38" s="1"/>
  <c r="C134" i="38"/>
  <c r="D134" i="38" s="1"/>
  <c r="C135" i="38"/>
  <c r="D135" i="38" s="1"/>
  <c r="C136" i="38"/>
  <c r="D136" i="38" s="1"/>
  <c r="C137" i="38"/>
  <c r="D137" i="38" s="1"/>
  <c r="C138" i="38"/>
  <c r="D138" i="38" s="1"/>
  <c r="C139" i="38"/>
  <c r="D139" i="38" s="1"/>
  <c r="C140" i="38"/>
  <c r="D140" i="38" s="1"/>
  <c r="C141" i="38"/>
  <c r="D141" i="38" s="1"/>
  <c r="C142" i="38"/>
  <c r="D142" i="38" s="1"/>
  <c r="C143" i="38"/>
  <c r="D143" i="38" s="1"/>
  <c r="C144" i="38"/>
  <c r="D144" i="38" s="1"/>
  <c r="C145" i="38"/>
  <c r="D145" i="38" s="1"/>
  <c r="C146" i="38"/>
  <c r="D146" i="38" s="1"/>
  <c r="C147" i="38"/>
  <c r="D147" i="38" s="1"/>
  <c r="C148" i="38"/>
  <c r="D148" i="38" s="1"/>
  <c r="C149" i="38"/>
  <c r="D149" i="38" s="1"/>
  <c r="C150" i="38"/>
  <c r="D150" i="38" s="1"/>
  <c r="C151" i="38"/>
  <c r="D151" i="38" s="1"/>
  <c r="C152" i="38"/>
  <c r="D152" i="38" s="1"/>
  <c r="C153" i="38"/>
  <c r="D153" i="38" s="1"/>
  <c r="C154" i="38"/>
  <c r="D154" i="38" s="1"/>
  <c r="C155" i="38"/>
  <c r="D155" i="38" s="1"/>
  <c r="C156" i="38"/>
  <c r="D156" i="38" s="1"/>
  <c r="C157" i="38"/>
  <c r="D157" i="38" s="1"/>
  <c r="E1" i="122"/>
  <c r="B18" i="122"/>
  <c r="E100" i="122"/>
  <c r="B117" i="122"/>
  <c r="E200" i="122"/>
  <c r="B217" i="122"/>
  <c r="E300" i="122"/>
  <c r="B317" i="122"/>
  <c r="E1" i="91"/>
  <c r="C24" i="91"/>
  <c r="E100" i="91"/>
  <c r="C124" i="91" a="1"/>
  <c r="C124" i="91" s="1"/>
  <c r="E200" i="91"/>
  <c r="D218" i="91"/>
  <c r="E300" i="91"/>
  <c r="C317" i="91"/>
  <c r="G317" i="91" s="1"/>
  <c r="C318" i="91"/>
  <c r="C319" i="91"/>
  <c r="C320" i="91"/>
  <c r="C321" i="91"/>
  <c r="E400" i="91"/>
  <c r="C418" i="91"/>
  <c r="G418" i="91" s="1" a="1"/>
  <c r="C419" i="91"/>
  <c r="C420" i="91"/>
  <c r="C421" i="91"/>
  <c r="C422" i="91"/>
  <c r="E500" i="91"/>
  <c r="D518" i="91"/>
  <c r="E600" i="91"/>
  <c r="D618" i="91"/>
  <c r="E700" i="91"/>
  <c r="C724" i="91"/>
  <c r="C724" i="91" a="1"/>
  <c r="C725" i="91"/>
  <c r="E800" i="91"/>
  <c r="E818" i="91"/>
  <c r="E818" i="91" a="1"/>
  <c r="F818" i="91"/>
  <c r="E1" i="138"/>
  <c r="E1" i="123"/>
  <c r="B18" i="123"/>
  <c r="B19" i="123"/>
  <c r="E100" i="123"/>
  <c r="B117" i="123"/>
  <c r="E1" i="90"/>
  <c r="D19" i="90"/>
  <c r="C31" i="90"/>
  <c r="C32" i="90"/>
  <c r="E100" i="90"/>
  <c r="D118" i="90"/>
  <c r="E200" i="90"/>
  <c r="D218" i="90"/>
  <c r="E1" i="137"/>
  <c r="G22" i="137"/>
  <c r="E100" i="137"/>
  <c r="G121" i="137"/>
  <c r="E1" i="36"/>
  <c r="C15" i="36"/>
  <c r="F15" i="36"/>
  <c r="C16" i="36"/>
  <c r="F16" i="36"/>
  <c r="C17" i="36"/>
  <c r="F17" i="36"/>
  <c r="C18" i="36"/>
  <c r="F18" i="36"/>
  <c r="C19" i="36"/>
  <c r="F19" i="36"/>
  <c r="C20" i="36"/>
  <c r="F20" i="36"/>
  <c r="C21" i="36"/>
  <c r="F21" i="36"/>
  <c r="C22" i="36"/>
  <c r="F22" i="36"/>
  <c r="C23" i="36"/>
  <c r="F23" i="36"/>
  <c r="E100" i="36"/>
  <c r="D116" i="36"/>
  <c r="D117" i="36"/>
  <c r="D118" i="36"/>
  <c r="D119" i="36"/>
  <c r="D120" i="36"/>
  <c r="D121" i="36"/>
  <c r="D122" i="36"/>
  <c r="D123" i="36"/>
  <c r="D124" i="36"/>
  <c r="D125" i="36"/>
  <c r="E200" i="36"/>
  <c r="D216" i="36"/>
  <c r="D217" i="36"/>
  <c r="D218" i="36"/>
  <c r="D219" i="36"/>
  <c r="D220" i="36"/>
  <c r="D221" i="36"/>
  <c r="D222" i="36"/>
  <c r="D223" i="36"/>
  <c r="D224" i="36"/>
  <c r="E300" i="36"/>
  <c r="D316" i="36"/>
  <c r="D317" i="36"/>
  <c r="D318" i="36"/>
  <c r="D319" i="36"/>
  <c r="D320" i="36"/>
  <c r="D321" i="36"/>
  <c r="D322" i="36"/>
  <c r="D323" i="36"/>
  <c r="D324" i="36"/>
  <c r="E400" i="36"/>
  <c r="D416" i="36"/>
  <c r="D417" i="36"/>
  <c r="D418" i="36"/>
  <c r="D419" i="36"/>
  <c r="D420" i="36"/>
  <c r="D421" i="36"/>
  <c r="D422" i="36"/>
  <c r="D423" i="36"/>
  <c r="D424" i="36"/>
  <c r="B436" i="36"/>
  <c r="B441" i="36"/>
  <c r="B444" i="36" a="1"/>
  <c r="B444" i="36" s="1"/>
  <c r="E500" i="36"/>
  <c r="C517" i="36"/>
  <c r="D517" i="36"/>
  <c r="E517" i="36"/>
  <c r="F517" i="36"/>
  <c r="E524" i="36"/>
  <c r="F524" i="36" s="1"/>
  <c r="E525" i="36"/>
  <c r="F525" i="36" s="1"/>
  <c r="E526" i="36"/>
  <c r="F526" i="36" s="1"/>
  <c r="G526" i="36"/>
  <c r="E527" i="36"/>
  <c r="G527" i="36" s="1"/>
  <c r="E600" i="36"/>
  <c r="C618" i="36"/>
  <c r="D618" i="36"/>
  <c r="E618" i="36"/>
  <c r="F618" i="36"/>
  <c r="E627" i="36"/>
  <c r="G627" i="36" s="1"/>
  <c r="E628" i="36"/>
  <c r="F628" i="36" s="1"/>
  <c r="E629" i="36"/>
  <c r="F629" i="36"/>
  <c r="G629" i="36"/>
  <c r="E630" i="36"/>
  <c r="F630" i="36" s="1"/>
  <c r="E700" i="36"/>
  <c r="C718" i="36"/>
  <c r="D718" i="36"/>
  <c r="E718" i="36"/>
  <c r="F718" i="36"/>
  <c r="E729" i="36"/>
  <c r="F729" i="36" s="1"/>
  <c r="E730" i="36"/>
  <c r="G730" i="36" s="1"/>
  <c r="F730" i="36"/>
  <c r="E731" i="36"/>
  <c r="F731" i="36" s="1"/>
  <c r="E732" i="36"/>
  <c r="F732" i="36" s="1"/>
  <c r="G732" i="36"/>
  <c r="E800" i="36"/>
  <c r="C817" i="36"/>
  <c r="D817" i="36"/>
  <c r="E817" i="36"/>
  <c r="F817" i="36"/>
  <c r="G817" i="36"/>
  <c r="H817" i="36"/>
  <c r="E900" i="36"/>
  <c r="C917" i="36"/>
  <c r="D917" i="36"/>
  <c r="E917" i="36"/>
  <c r="F917" i="36"/>
  <c r="G917" i="36"/>
  <c r="H917" i="36"/>
  <c r="E1" i="37"/>
  <c r="E29" i="37"/>
  <c r="E30" i="37"/>
  <c r="E31" i="37"/>
  <c r="E32" i="37"/>
  <c r="E33" i="37"/>
  <c r="D40" i="37"/>
  <c r="D41" i="37"/>
  <c r="D42" i="37"/>
  <c r="D43" i="37"/>
  <c r="D44" i="37"/>
  <c r="D45" i="37"/>
  <c r="E100" i="37"/>
  <c r="C102" i="37"/>
  <c r="C106" i="37"/>
  <c r="C107" i="37"/>
  <c r="B109" i="37"/>
  <c r="B110" i="37"/>
  <c r="B116" i="37"/>
  <c r="B117" i="37"/>
  <c r="B119" i="37"/>
  <c r="C119" i="37"/>
  <c r="B120" i="37"/>
  <c r="C120" i="37"/>
  <c r="B121" i="37"/>
  <c r="C121" i="37"/>
  <c r="B122" i="37"/>
  <c r="C122" i="37"/>
  <c r="E128" i="37"/>
  <c r="E129" i="37"/>
  <c r="E130" i="37"/>
  <c r="E131" i="37"/>
  <c r="E132" i="37"/>
  <c r="D139" i="37"/>
  <c r="D140" i="37"/>
  <c r="D141" i="37"/>
  <c r="D142" i="37"/>
  <c r="D143" i="37"/>
  <c r="D144" i="37"/>
  <c r="E200" i="37"/>
  <c r="E218" i="37"/>
  <c r="E219" i="37"/>
  <c r="E220" i="37"/>
  <c r="E221" i="37"/>
  <c r="E300" i="37"/>
  <c r="E332" i="37"/>
  <c r="E333" i="37"/>
  <c r="E334" i="37"/>
  <c r="E335" i="37"/>
  <c r="D342" i="37"/>
  <c r="D343" i="37"/>
  <c r="D344" i="37"/>
  <c r="D345" i="37"/>
  <c r="D346" i="37"/>
  <c r="D347" i="37"/>
  <c r="E400" i="37"/>
  <c r="C430" i="37"/>
  <c r="F430" i="37"/>
  <c r="C431" i="37"/>
  <c r="F431" i="37"/>
  <c r="C432" i="37"/>
  <c r="F432" i="37"/>
  <c r="C433" i="37"/>
  <c r="F433" i="37"/>
  <c r="C434" i="37"/>
  <c r="F434" i="37"/>
  <c r="C435" i="37"/>
  <c r="F435" i="37"/>
  <c r="C436" i="37"/>
  <c r="F436" i="37"/>
  <c r="C437" i="37"/>
  <c r="F437" i="37"/>
  <c r="C438" i="37"/>
  <c r="F438" i="37"/>
  <c r="C439" i="37"/>
  <c r="E500" i="37"/>
  <c r="E519" i="37"/>
  <c r="E520" i="37"/>
  <c r="E521" i="37"/>
  <c r="E522" i="37"/>
  <c r="E523" i="37"/>
  <c r="E1" i="34"/>
  <c r="E17" i="34"/>
  <c r="E22" i="34" s="1"/>
  <c r="E18" i="34"/>
  <c r="E19" i="34"/>
  <c r="E20" i="34"/>
  <c r="E21" i="34"/>
  <c r="C22" i="34"/>
  <c r="E100" i="34"/>
  <c r="C122" i="34"/>
  <c r="E200" i="34"/>
  <c r="C222" i="34"/>
  <c r="E1" i="46"/>
  <c r="C17" i="46"/>
  <c r="C18" i="46"/>
  <c r="C19" i="46"/>
  <c r="C20" i="46"/>
  <c r="C21" i="46"/>
  <c r="C22" i="46"/>
  <c r="C23" i="46"/>
  <c r="C24" i="46"/>
  <c r="C25" i="46"/>
  <c r="E100" i="46"/>
  <c r="C116" i="46"/>
  <c r="C117" i="46"/>
  <c r="C118" i="46"/>
  <c r="C119" i="46"/>
  <c r="C120" i="46"/>
  <c r="C121" i="46"/>
  <c r="C122" i="46"/>
  <c r="C123" i="46"/>
  <c r="C124" i="46"/>
  <c r="E200" i="46"/>
  <c r="C216" i="46"/>
  <c r="C217" i="46"/>
  <c r="C218" i="46"/>
  <c r="C219" i="46"/>
  <c r="C220" i="46"/>
  <c r="C221" i="46"/>
  <c r="C222" i="46"/>
  <c r="C223" i="46"/>
  <c r="C224" i="46"/>
  <c r="E300" i="46"/>
  <c r="C316" i="46"/>
  <c r="C317" i="46"/>
  <c r="C318" i="46"/>
  <c r="C319" i="46"/>
  <c r="C320" i="46"/>
  <c r="C321" i="46"/>
  <c r="C322" i="46"/>
  <c r="C323" i="46"/>
  <c r="C324" i="46"/>
  <c r="E400" i="46"/>
  <c r="C416" i="46"/>
  <c r="C417" i="46"/>
  <c r="C418" i="46"/>
  <c r="C419" i="46"/>
  <c r="C420" i="46"/>
  <c r="C421" i="46"/>
  <c r="C422" i="46"/>
  <c r="C423" i="46"/>
  <c r="C424" i="46"/>
  <c r="C425" i="46"/>
  <c r="C426" i="46"/>
  <c r="C427" i="46"/>
  <c r="C428" i="46"/>
  <c r="C429" i="46"/>
  <c r="C430" i="46"/>
  <c r="C431" i="46"/>
  <c r="E500" i="46"/>
  <c r="C516" i="46"/>
  <c r="C517" i="46"/>
  <c r="C518" i="46"/>
  <c r="C519" i="46"/>
  <c r="C520" i="46"/>
  <c r="C521" i="46"/>
  <c r="C522" i="46"/>
  <c r="C523" i="46"/>
  <c r="C524" i="46"/>
  <c r="C525" i="46"/>
  <c r="C526" i="46"/>
  <c r="C527" i="46"/>
  <c r="C528" i="46"/>
  <c r="C529" i="46"/>
  <c r="C530" i="46"/>
  <c r="C531" i="46"/>
  <c r="C532" i="46"/>
  <c r="E1" i="48"/>
  <c r="B17" i="48"/>
  <c r="C24" i="48"/>
  <c r="D24" i="48"/>
  <c r="E24" i="48"/>
  <c r="F24" i="48"/>
  <c r="G24" i="48"/>
  <c r="E100" i="48"/>
  <c r="C117" i="48"/>
  <c r="D117" i="48"/>
  <c r="E117" i="48"/>
  <c r="F117" i="48"/>
  <c r="G117" i="48"/>
  <c r="E1" i="25"/>
  <c r="D15" i="25"/>
  <c r="D16" i="25"/>
  <c r="D17" i="25"/>
  <c r="D18" i="25"/>
  <c r="E100" i="25"/>
  <c r="B114" i="25"/>
  <c r="F114" i="25" s="1"/>
  <c r="F116" i="25"/>
  <c r="F117" i="25"/>
  <c r="F118" i="25"/>
  <c r="F119" i="25"/>
  <c r="E200" i="25"/>
  <c r="D215" i="25"/>
  <c r="D216" i="25"/>
  <c r="D217" i="25"/>
  <c r="D218" i="25"/>
  <c r="E300" i="25"/>
  <c r="C316" i="25"/>
  <c r="C327" i="25"/>
  <c r="C328" i="25"/>
  <c r="C329" i="25"/>
  <c r="C330" i="25"/>
  <c r="E1" i="27"/>
  <c r="C14" i="27"/>
  <c r="E100" i="27"/>
  <c r="C113" i="27"/>
  <c r="E200" i="27"/>
  <c r="C213" i="27"/>
  <c r="E1" i="68"/>
  <c r="D17" i="68"/>
  <c r="D18" i="68"/>
  <c r="D19" i="68"/>
  <c r="E25" i="68"/>
  <c r="E26" i="68"/>
  <c r="E27" i="68"/>
  <c r="E100" i="68"/>
  <c r="E200" i="68"/>
  <c r="D217" i="68"/>
  <c r="D218" i="68"/>
  <c r="E300" i="68"/>
  <c r="E400" i="68"/>
  <c r="D417" i="68"/>
  <c r="D418" i="68"/>
  <c r="E500" i="68"/>
  <c r="E1" i="70"/>
  <c r="D18" i="70"/>
  <c r="D19" i="70"/>
  <c r="D20" i="70"/>
  <c r="D21" i="70"/>
  <c r="D22" i="70"/>
  <c r="D23" i="70"/>
  <c r="E100" i="70"/>
  <c r="E118" i="70"/>
  <c r="E119" i="70"/>
  <c r="E120" i="70"/>
  <c r="E121" i="70"/>
  <c r="E122" i="70"/>
  <c r="E200" i="70"/>
  <c r="E1" i="139"/>
  <c r="E100" i="139"/>
  <c r="E1" i="67"/>
  <c r="E18" i="67"/>
  <c r="E19" i="67"/>
  <c r="E20" i="67"/>
  <c r="E21" i="67"/>
  <c r="E22" i="67"/>
  <c r="E23" i="67"/>
  <c r="E24" i="67"/>
  <c r="E25" i="67"/>
  <c r="E26" i="67"/>
  <c r="E100" i="67"/>
  <c r="D117" i="67"/>
  <c r="D118" i="67"/>
  <c r="D119" i="67"/>
  <c r="D120" i="67"/>
  <c r="D121" i="67"/>
  <c r="E200" i="67"/>
  <c r="E300" i="67"/>
  <c r="E317" i="67"/>
  <c r="E318" i="67"/>
  <c r="E319" i="67"/>
  <c r="E320" i="67"/>
  <c r="E321" i="67"/>
  <c r="E322" i="67"/>
  <c r="E323" i="67"/>
  <c r="E324" i="67"/>
  <c r="E1" i="111"/>
  <c r="F28" i="111"/>
  <c r="E100" i="111"/>
  <c r="F127" i="111"/>
  <c r="E200" i="111"/>
  <c r="F227" i="111"/>
  <c r="E300" i="111"/>
  <c r="F327" i="111"/>
  <c r="E400" i="111"/>
  <c r="F427" i="111"/>
  <c r="E1" i="43"/>
  <c r="C17" i="43"/>
  <c r="C18" i="43"/>
  <c r="C19" i="43"/>
  <c r="C20" i="43"/>
  <c r="C21" i="43"/>
  <c r="C22" i="43"/>
  <c r="C23" i="43"/>
  <c r="C24" i="43"/>
  <c r="C25" i="43"/>
  <c r="C26" i="43"/>
  <c r="C27" i="43"/>
  <c r="C28" i="43"/>
  <c r="C29" i="43"/>
  <c r="C30" i="43"/>
  <c r="C31" i="43"/>
  <c r="C32" i="43"/>
  <c r="C33" i="43"/>
  <c r="E100" i="43"/>
  <c r="E117" i="43"/>
  <c r="E118" i="43"/>
  <c r="E119" i="43"/>
  <c r="E120" i="43"/>
  <c r="E121" i="43"/>
  <c r="E200" i="43"/>
  <c r="C217" i="43"/>
  <c r="C218" i="43"/>
  <c r="C219" i="43"/>
  <c r="C220" i="43"/>
  <c r="C221" i="43"/>
  <c r="C222" i="43"/>
  <c r="C223" i="43"/>
  <c r="C224" i="43"/>
  <c r="C225" i="43"/>
  <c r="C226" i="43"/>
  <c r="C227" i="43"/>
  <c r="C228" i="43"/>
  <c r="C229" i="43"/>
  <c r="C230" i="43"/>
  <c r="C231" i="43"/>
  <c r="E300" i="43"/>
  <c r="C318" i="43"/>
  <c r="D318" i="43"/>
  <c r="E318" i="43"/>
  <c r="F318" i="43"/>
  <c r="G318" i="43"/>
  <c r="H318" i="43"/>
  <c r="E400" i="43"/>
  <c r="C417" i="43"/>
  <c r="D417" i="43"/>
  <c r="E417" i="43"/>
  <c r="F417" i="43"/>
  <c r="G417" i="43"/>
  <c r="H417" i="43"/>
  <c r="E1" i="82"/>
  <c r="F28" i="82"/>
  <c r="F29" i="82"/>
  <c r="E100" i="82"/>
  <c r="F118" i="82"/>
  <c r="F119" i="82"/>
  <c r="E1" i="40"/>
  <c r="C18" i="40"/>
  <c r="D18" i="40"/>
  <c r="E18" i="40"/>
  <c r="F18" i="40"/>
  <c r="G18" i="40"/>
  <c r="H18" i="40"/>
  <c r="E100" i="40"/>
  <c r="C117" i="40"/>
  <c r="D117" i="40"/>
  <c r="E117" i="40"/>
  <c r="F117" i="40"/>
  <c r="G117" i="40"/>
  <c r="H117" i="40"/>
  <c r="E1" i="41"/>
  <c r="C17" i="41"/>
  <c r="D17" i="41"/>
  <c r="E17" i="41"/>
  <c r="F17" i="41"/>
  <c r="G17" i="41"/>
  <c r="E100" i="41"/>
  <c r="C116" i="41"/>
  <c r="D116" i="41"/>
  <c r="E116" i="41"/>
  <c r="F116" i="41"/>
  <c r="G116" i="41"/>
  <c r="E200" i="41"/>
  <c r="C217" i="41"/>
  <c r="C218" i="41" s="1"/>
  <c r="D217" i="41"/>
  <c r="E217" i="41"/>
  <c r="E218" i="41" s="1"/>
  <c r="F217" i="41"/>
  <c r="F218" i="41" s="1"/>
  <c r="G217" i="41"/>
  <c r="G218" i="41" s="1"/>
  <c r="H217" i="41"/>
  <c r="I217" i="41"/>
  <c r="I218" i="41" s="1"/>
  <c r="J217" i="41"/>
  <c r="J218" i="41" s="1"/>
  <c r="K217" i="41"/>
  <c r="K218" i="41" s="1"/>
  <c r="D218" i="41"/>
  <c r="H218" i="41"/>
  <c r="E300" i="41"/>
  <c r="C317" i="41"/>
  <c r="D317" i="41"/>
  <c r="E317" i="41"/>
  <c r="F317" i="41"/>
  <c r="G317" i="41"/>
  <c r="H317" i="41"/>
  <c r="I317" i="41"/>
  <c r="J317" i="41"/>
  <c r="K317" i="41"/>
  <c r="E400" i="41"/>
  <c r="E418" i="41"/>
  <c r="E419" i="41"/>
  <c r="E420" i="41"/>
  <c r="E421" i="41"/>
  <c r="E422" i="41"/>
  <c r="E423" i="41"/>
  <c r="E424" i="41"/>
  <c r="E425" i="41"/>
  <c r="E426" i="41"/>
  <c r="E427" i="41"/>
  <c r="E1" i="39"/>
  <c r="D17" i="39"/>
  <c r="D18" i="39"/>
  <c r="D19" i="39"/>
  <c r="D20" i="39"/>
  <c r="D21" i="39"/>
  <c r="G25" i="39"/>
  <c r="G26" i="39"/>
  <c r="G27" i="39"/>
  <c r="G28" i="39"/>
  <c r="G29" i="39"/>
  <c r="E100" i="39"/>
  <c r="G116" i="39"/>
  <c r="G117" i="39"/>
  <c r="G118" i="39"/>
  <c r="G119" i="39"/>
  <c r="E1" i="83"/>
  <c r="E19" i="83"/>
  <c r="E100" i="83"/>
  <c r="E118" i="83"/>
  <c r="E200" i="83"/>
  <c r="E218" i="83"/>
  <c r="E300" i="83"/>
  <c r="E318" i="83"/>
  <c r="B93" i="29"/>
  <c r="B103" i="29" s="1"/>
  <c r="F34" i="138"/>
  <c r="G34" i="138"/>
  <c r="H34" i="138"/>
  <c r="I34" i="138"/>
  <c r="F17" i="59"/>
  <c r="F36" i="3" l="1"/>
  <c r="D225" i="61"/>
  <c r="F37" i="3"/>
  <c r="G630" i="36"/>
  <c r="E129" i="81"/>
  <c r="E125" i="81"/>
  <c r="J224" i="84"/>
  <c r="H27" i="84"/>
  <c r="G217" i="47"/>
  <c r="F216" i="47"/>
  <c r="D224" i="61"/>
  <c r="E29" i="29"/>
  <c r="H78" i="49"/>
  <c r="F218" i="47"/>
  <c r="G729" i="36"/>
  <c r="F527" i="36"/>
  <c r="G525" i="36"/>
  <c r="E121" i="81"/>
  <c r="F221" i="84"/>
  <c r="J222" i="84"/>
  <c r="H125" i="84"/>
  <c r="H123" i="84"/>
  <c r="H121" i="84"/>
  <c r="H21" i="84"/>
  <c r="C737" i="3"/>
  <c r="F217" i="47"/>
  <c r="H15" i="28"/>
  <c r="H16" i="28" s="1"/>
  <c r="F627" i="36"/>
  <c r="E127" i="81"/>
  <c r="F223" i="84"/>
  <c r="H118" i="84"/>
  <c r="H23" i="84"/>
  <c r="E118" i="80"/>
  <c r="G218" i="47"/>
  <c r="H41" i="78"/>
  <c r="J36" i="35"/>
  <c r="G64" i="30"/>
  <c r="G418" i="91"/>
  <c r="H418" i="91"/>
  <c r="G731" i="36"/>
  <c r="G628" i="36"/>
  <c r="G524" i="36"/>
  <c r="C126" i="91"/>
  <c r="J225" i="84"/>
  <c r="F224" i="84"/>
  <c r="J221" i="84"/>
  <c r="H26" i="84"/>
  <c r="H24" i="84"/>
  <c r="H22" i="84"/>
  <c r="H20" i="84"/>
  <c r="F119" i="47"/>
  <c r="H117" i="47"/>
  <c r="G68" i="30"/>
  <c r="C125" i="91"/>
  <c r="E221" i="81"/>
  <c r="J226" i="84"/>
  <c r="H118" i="47"/>
  <c r="G117" i="47"/>
  <c r="D223" i="61"/>
  <c r="J19" i="62"/>
  <c r="F19" i="62"/>
  <c r="J18" i="62"/>
  <c r="F18" i="62"/>
  <c r="D71" i="35"/>
  <c r="F71" i="35" s="1"/>
  <c r="D48" i="35"/>
  <c r="F48" i="35" s="1"/>
  <c r="J46" i="35"/>
  <c r="J44" i="35"/>
  <c r="J42" i="35"/>
  <c r="J39" i="35"/>
  <c r="J37" i="35"/>
  <c r="D222" i="61"/>
  <c r="G72" i="30"/>
  <c r="G119" i="47"/>
  <c r="F118" i="47"/>
  <c r="L19" i="62"/>
  <c r="H19" i="62"/>
  <c r="L18" i="62"/>
  <c r="H18" i="62"/>
  <c r="J45" i="35"/>
  <c r="J43" i="35"/>
  <c r="J41" i="35"/>
  <c r="J40" i="35"/>
  <c r="J38"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F102" authorId="0" shapeId="0" xr:uid="{00000000-0006-0000-0B00-000001000000}">
      <text>
        <r>
          <rPr>
            <sz val="9"/>
            <rFont val="宋体"/>
            <family val="3"/>
            <charset val="134"/>
          </rPr>
          <t>偷看作0分处理</t>
        </r>
      </text>
    </comment>
    <comment ref="F107" authorId="0" shapeId="0" xr:uid="{00000000-0006-0000-0B00-000002000000}">
      <text>
        <r>
          <rPr>
            <sz val="9"/>
            <rFont val="宋体"/>
            <family val="3"/>
            <charset val="134"/>
          </rPr>
          <t xml:space="preserve">偷看作0分处理,输入0分
</t>
        </r>
      </text>
    </comment>
    <comment ref="F109" authorId="0" shapeId="0" xr:uid="{00000000-0006-0000-0B00-000003000000}">
      <text>
        <r>
          <rPr>
            <sz val="9"/>
            <rFont val="宋体"/>
            <family val="3"/>
            <charset val="134"/>
          </rPr>
          <t xml:space="preserve">未考不计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D19" authorId="0" shapeId="0" xr:uid="{00000000-0006-0000-2F00-000001000000}">
      <text>
        <r>
          <rPr>
            <sz val="9"/>
            <rFont val="宋体"/>
            <family val="3"/>
            <charset val="134"/>
          </rPr>
          <t>你爱不爱她我不知道,反正我是爱她的!</t>
        </r>
      </text>
    </comment>
  </commentList>
</comments>
</file>

<file path=xl/sharedStrings.xml><?xml version="1.0" encoding="utf-8"?>
<sst xmlns="http://schemas.openxmlformats.org/spreadsheetml/2006/main" count="15662" uniqueCount="5984">
  <si>
    <t xml:space="preserve">     总目录</t>
  </si>
  <si>
    <t>链接</t>
  </si>
  <si>
    <t>符表1</t>
  </si>
  <si>
    <t>符表2</t>
  </si>
  <si>
    <t>函数索引</t>
  </si>
  <si>
    <t>一、</t>
  </si>
  <si>
    <t>日期与时间函数</t>
  </si>
  <si>
    <t>二、</t>
  </si>
  <si>
    <t>数学与三角函数</t>
  </si>
  <si>
    <t>三、</t>
  </si>
  <si>
    <t>逻辑函数</t>
  </si>
  <si>
    <t>四、</t>
  </si>
  <si>
    <t>查找与引用函数</t>
  </si>
  <si>
    <t>五、</t>
  </si>
  <si>
    <t>数据库函数</t>
  </si>
  <si>
    <t>六、</t>
  </si>
  <si>
    <t>文本函数</t>
  </si>
  <si>
    <t>七、</t>
  </si>
  <si>
    <t>统计函数</t>
  </si>
  <si>
    <t>八、</t>
  </si>
  <si>
    <t>财务函数</t>
  </si>
  <si>
    <t>九、</t>
  </si>
  <si>
    <t>工程函数</t>
  </si>
  <si>
    <t>十、</t>
  </si>
  <si>
    <t>信息函数</t>
  </si>
  <si>
    <t>十一、</t>
  </si>
  <si>
    <t>外部函数</t>
  </si>
  <si>
    <t>说明</t>
  </si>
  <si>
    <t>名  称</t>
  </si>
  <si>
    <t xml:space="preserve">    函  数  定  义</t>
  </si>
  <si>
    <t>共21个</t>
  </si>
  <si>
    <t>1、</t>
  </si>
  <si>
    <t>计算日期</t>
  </si>
  <si>
    <t>EDATE</t>
  </si>
  <si>
    <t>计算从开始日期算起的数个月之前或之后的日期</t>
  </si>
  <si>
    <t>EOMONTH</t>
  </si>
  <si>
    <t>计算指定月份数之前或之后的月末</t>
  </si>
  <si>
    <t>WORKDAY</t>
  </si>
  <si>
    <t>计算除了周末和节假日之外的日期</t>
  </si>
  <si>
    <t>2、</t>
  </si>
  <si>
    <t>计算天数</t>
  </si>
  <si>
    <t>NETWORKDAYS</t>
  </si>
  <si>
    <t>计算除了周六、日和休息日之外的工作天数</t>
  </si>
  <si>
    <t>DATEDIF</t>
  </si>
  <si>
    <t>计算期间内的年数、月数、天数</t>
  </si>
  <si>
    <t>DAYS360</t>
  </si>
  <si>
    <t>按一年360天计算两个日期之间的天数</t>
  </si>
  <si>
    <t>3、</t>
  </si>
  <si>
    <t>计算指定期间的比率</t>
  </si>
  <si>
    <t>YEARFRAC</t>
  </si>
  <si>
    <t>计算指定期间占一年的比率</t>
  </si>
  <si>
    <t>4、</t>
  </si>
  <si>
    <t>计算日期为第几个星期</t>
  </si>
  <si>
    <t>WEEKNUM</t>
  </si>
  <si>
    <t>计算从1月1日算起的第几个星期</t>
  </si>
  <si>
    <t>5、</t>
  </si>
  <si>
    <t>计算表示日期的数值</t>
  </si>
  <si>
    <t>DATE</t>
  </si>
  <si>
    <t>从年、月、日来计算日期</t>
  </si>
  <si>
    <t>DATEVALUE</t>
  </si>
  <si>
    <t>从表示日期的文本来计算序列号值</t>
  </si>
  <si>
    <t>6、</t>
  </si>
  <si>
    <t>计算表示时间的数值</t>
  </si>
  <si>
    <t>TIME</t>
  </si>
  <si>
    <t>从时、分、秒来计算出时间的序列号值</t>
  </si>
  <si>
    <t>TIMEVALUE</t>
  </si>
  <si>
    <t>从表示时间的文本来计算序列号值</t>
  </si>
  <si>
    <t>7、</t>
  </si>
  <si>
    <t>计算日期或时间</t>
  </si>
  <si>
    <t>TODAY</t>
  </si>
  <si>
    <t>计算当前的日期</t>
  </si>
  <si>
    <t>NOW</t>
  </si>
  <si>
    <t>计算当前的日期和时间</t>
  </si>
  <si>
    <t>8、</t>
  </si>
  <si>
    <t>从日期中提取出年/月/日和星期</t>
  </si>
  <si>
    <t>YEAR</t>
  </si>
  <si>
    <t>从日期中提取出"年"</t>
  </si>
  <si>
    <t>MONTH</t>
  </si>
  <si>
    <t>从日期中提取出"月"</t>
  </si>
  <si>
    <t>DAY</t>
  </si>
  <si>
    <t>从日期中提取出"日"</t>
  </si>
  <si>
    <t>WEEKDAY</t>
  </si>
  <si>
    <t>计算出与日期相对应的星期</t>
  </si>
  <si>
    <t>从时间中提取出时/分/秒</t>
  </si>
  <si>
    <t>HOUR</t>
  </si>
  <si>
    <t>从时间中提取出"时"</t>
  </si>
  <si>
    <t>MINUTE</t>
  </si>
  <si>
    <t>从时间中提取出"分"</t>
  </si>
  <si>
    <t>SECOND</t>
  </si>
  <si>
    <t>从时间中计算出"秒"</t>
  </si>
  <si>
    <t>共60个</t>
  </si>
  <si>
    <t>数值求和</t>
  </si>
  <si>
    <t>SUM</t>
  </si>
  <si>
    <t>求和计算</t>
  </si>
  <si>
    <t>SUMIF</t>
  </si>
  <si>
    <t>对满足条件的单元格的数值求和</t>
  </si>
  <si>
    <t>COUNTIF</t>
  </si>
  <si>
    <t>计算满足条件的单元格人个数</t>
  </si>
  <si>
    <t>对乘积进行计算、求和</t>
  </si>
  <si>
    <t>PRODUCT</t>
  </si>
  <si>
    <t>计算积</t>
  </si>
  <si>
    <t>SUMPRODUCT</t>
  </si>
  <si>
    <t>先计算多个数组的元素之间的乘积再求和</t>
  </si>
  <si>
    <t>SUMSQ</t>
  </si>
  <si>
    <t>计算平方和</t>
  </si>
  <si>
    <t>数组的平方计算</t>
  </si>
  <si>
    <t>SUMX2PY2</t>
  </si>
  <si>
    <t>计算两个数组中对应元素的平方之和</t>
  </si>
  <si>
    <t>SUMX2MY2</t>
  </si>
  <si>
    <t>计算两个数组中对应元素的平方差之和</t>
  </si>
  <si>
    <t>SUMXMY2</t>
  </si>
  <si>
    <t>计算两个数组中对应元素的差的平方之和</t>
  </si>
  <si>
    <t>计算各种总计值</t>
  </si>
  <si>
    <t>计算各种总计值.</t>
  </si>
  <si>
    <t>SUBTOTAL</t>
  </si>
  <si>
    <t>数值舍入取整</t>
  </si>
  <si>
    <t>INT</t>
  </si>
  <si>
    <t>将数值向下舍入为最接近的整数</t>
  </si>
  <si>
    <t>TRUNC</t>
  </si>
  <si>
    <t>根据指定的位数位置向下舍入计算</t>
  </si>
  <si>
    <t>ROUNDDOWN</t>
  </si>
  <si>
    <t>根据指定的位数位置向下舍入</t>
  </si>
  <si>
    <t>ROUNDUP</t>
  </si>
  <si>
    <t>根据指定的位数位置向上舍入</t>
  </si>
  <si>
    <t>ROUND</t>
  </si>
  <si>
    <t>根据指定的位数位置四舍五入</t>
  </si>
  <si>
    <t>FLOOR</t>
  </si>
  <si>
    <t>向下舍入为指定的倍数</t>
  </si>
  <si>
    <t>CEILING</t>
  </si>
  <si>
    <t>向上舍入为指定的倍数</t>
  </si>
  <si>
    <t>MROUND</t>
  </si>
  <si>
    <t>舍入指定值的倍数</t>
  </si>
  <si>
    <t>EVEN</t>
  </si>
  <si>
    <t>向上舍入最接近的偶数</t>
  </si>
  <si>
    <t>ODD</t>
  </si>
  <si>
    <t>向上舍入最接近的奇数</t>
  </si>
  <si>
    <t>计算商的整数部分或余数</t>
  </si>
  <si>
    <t>QUOTIENT</t>
  </si>
  <si>
    <t>计算出商的整数部分</t>
  </si>
  <si>
    <t>MOD</t>
  </si>
  <si>
    <t>计算余数</t>
  </si>
  <si>
    <t>计算最大公约数或最小公倍数</t>
  </si>
  <si>
    <t>GCD</t>
  </si>
  <si>
    <t>计算最大公约数</t>
  </si>
  <si>
    <t>LCM</t>
  </si>
  <si>
    <t>计算最小公倍数</t>
  </si>
  <si>
    <t>转换或检查符号</t>
  </si>
  <si>
    <t>ABS</t>
  </si>
  <si>
    <t>计算绝对值</t>
  </si>
  <si>
    <t>SIGN</t>
  </si>
  <si>
    <t>计算正负符号</t>
  </si>
  <si>
    <t>9、</t>
  </si>
  <si>
    <t>组合的计算</t>
  </si>
  <si>
    <t>FACT</t>
  </si>
  <si>
    <t>计算阶乘</t>
  </si>
  <si>
    <t>FACTDOUBLE</t>
  </si>
  <si>
    <t>计算双阶倍乘</t>
  </si>
  <si>
    <t>PERMUT</t>
  </si>
  <si>
    <t>返回从给定元素数目的集合中选取若干元素的排列数</t>
  </si>
  <si>
    <t>COMBIN</t>
  </si>
  <si>
    <t>计算组合数或二项系数</t>
  </si>
  <si>
    <t>MULTINOMIAL</t>
  </si>
  <si>
    <t>计算多项系数</t>
  </si>
  <si>
    <t>10、</t>
  </si>
  <si>
    <t>计算幂级数</t>
  </si>
  <si>
    <t>SERIESSUM</t>
  </si>
  <si>
    <t>11、</t>
  </si>
  <si>
    <t>计算平方根</t>
  </si>
  <si>
    <t>SQRT</t>
  </si>
  <si>
    <t>SQRTPI</t>
  </si>
  <si>
    <t>计算圆周率的倍数的平方根</t>
  </si>
  <si>
    <t>12、</t>
  </si>
  <si>
    <t>使用指数函数</t>
  </si>
  <si>
    <t>POWER</t>
  </si>
  <si>
    <t>计算幂乘</t>
  </si>
  <si>
    <t>EXP</t>
  </si>
  <si>
    <t>计算自然对数e的幂乘</t>
  </si>
  <si>
    <t>13、</t>
  </si>
  <si>
    <t>使用对数函数</t>
  </si>
  <si>
    <t>LOG</t>
  </si>
  <si>
    <t>计算以指定的数值为底的对数</t>
  </si>
  <si>
    <t>LOG10</t>
  </si>
  <si>
    <t>计算常用对数</t>
  </si>
  <si>
    <t>LN</t>
  </si>
  <si>
    <t>计算自然对数</t>
  </si>
  <si>
    <t>14、</t>
  </si>
  <si>
    <t>计算圆周率</t>
  </si>
  <si>
    <t>PI</t>
  </si>
  <si>
    <t>计算圆周率的近似值</t>
  </si>
  <si>
    <t>15、</t>
  </si>
  <si>
    <t>角度和弧度的转换</t>
  </si>
  <si>
    <t>RADIANS</t>
  </si>
  <si>
    <t>将角度转换为弧度</t>
  </si>
  <si>
    <t>DEGREES</t>
  </si>
  <si>
    <t>将弧度转换为度</t>
  </si>
  <si>
    <t>16、</t>
  </si>
  <si>
    <t>使用三角函数</t>
  </si>
  <si>
    <t>SIN</t>
  </si>
  <si>
    <t>计算正弦值</t>
  </si>
  <si>
    <t>COS</t>
  </si>
  <si>
    <t>计算余弦值</t>
  </si>
  <si>
    <t>TAN</t>
  </si>
  <si>
    <t>计算正切值</t>
  </si>
  <si>
    <t>17、</t>
  </si>
  <si>
    <t>使用反三角函数</t>
  </si>
  <si>
    <t>ASIN</t>
  </si>
  <si>
    <t>计算反正弦值</t>
  </si>
  <si>
    <t>ACOS</t>
  </si>
  <si>
    <t>计算反余弦值</t>
  </si>
  <si>
    <t>ATAN</t>
  </si>
  <si>
    <t>计算反正切值</t>
  </si>
  <si>
    <t>ATAN2</t>
  </si>
  <si>
    <t>计算x-y坐标的反正切值</t>
  </si>
  <si>
    <t>18、</t>
  </si>
  <si>
    <t>使用双曲函数</t>
  </si>
  <si>
    <t>SINH</t>
  </si>
  <si>
    <t>计算双曲正弦值</t>
  </si>
  <si>
    <t>COSH</t>
  </si>
  <si>
    <t>计算双曲余弦值</t>
  </si>
  <si>
    <t>TANH</t>
  </si>
  <si>
    <t>计算双曲正切值</t>
  </si>
  <si>
    <t>19、</t>
  </si>
  <si>
    <t>使用反双曲函数</t>
  </si>
  <si>
    <t>ASINH</t>
  </si>
  <si>
    <t>计算双曲反正弦值</t>
  </si>
  <si>
    <t>ACOSH</t>
  </si>
  <si>
    <t>计算双曲反余弦值</t>
  </si>
  <si>
    <t>ATANH</t>
  </si>
  <si>
    <t>计算双曲反正切值</t>
  </si>
  <si>
    <t>20、</t>
  </si>
  <si>
    <t>计算矩阵或矩阵行列或的值</t>
  </si>
  <si>
    <t>MDETERM</t>
  </si>
  <si>
    <t>计算矩阵行列式的值</t>
  </si>
  <si>
    <t>MINVERSE</t>
  </si>
  <si>
    <t>计算矩阵的逆矩阵</t>
  </si>
  <si>
    <t>MMULT</t>
  </si>
  <si>
    <t>计算两数组矩阵的乘积</t>
  </si>
  <si>
    <t>21、</t>
  </si>
  <si>
    <t>产生随机数</t>
  </si>
  <si>
    <t>RAND</t>
  </si>
  <si>
    <t>产生大于或等于0且小于1的随机数</t>
  </si>
  <si>
    <t>RANDBETWEEN</t>
  </si>
  <si>
    <t>产生指定数值之间的随机数</t>
  </si>
  <si>
    <t>共6个</t>
  </si>
  <si>
    <t>根据条件分开处理</t>
  </si>
  <si>
    <t>IF</t>
  </si>
  <si>
    <t>根据条件满足与否返回不同的值</t>
  </si>
  <si>
    <t>判断多个条件</t>
  </si>
  <si>
    <t>AND</t>
  </si>
  <si>
    <t>检测所有的条件是否为真</t>
  </si>
  <si>
    <t>OR</t>
  </si>
  <si>
    <t>检测任意一项条件是否为真</t>
  </si>
  <si>
    <t>否定条件</t>
  </si>
  <si>
    <t>NOT</t>
  </si>
  <si>
    <t>对表示条件的参数的逻辑值求反</t>
  </si>
  <si>
    <t>表示逻辑值</t>
  </si>
  <si>
    <t>表示总是为真</t>
  </si>
  <si>
    <t>表示总是为假</t>
  </si>
  <si>
    <t>共19个</t>
  </si>
  <si>
    <t>搜索区域计算数据</t>
  </si>
  <si>
    <t>VLOOKUP</t>
  </si>
  <si>
    <t>按照垂直方向搜索区域</t>
  </si>
  <si>
    <t>HLOOKUP</t>
  </si>
  <si>
    <t>按照水平方向搜索区域</t>
  </si>
  <si>
    <t>LOOKUP</t>
  </si>
  <si>
    <t>(向量形式)搜索单行或单列</t>
  </si>
  <si>
    <t>(数组形式)搜索区域或查找对应值</t>
  </si>
  <si>
    <t>返回搜索值的位置或值</t>
  </si>
  <si>
    <t>MATCH</t>
  </si>
  <si>
    <t>返回搜索值的相对位置</t>
  </si>
  <si>
    <t>OFFSET</t>
  </si>
  <si>
    <t>计算指定位置的单元格引用</t>
  </si>
  <si>
    <t>INDEX</t>
  </si>
  <si>
    <t>(数组形式)返回行和列交叉位置的值</t>
  </si>
  <si>
    <t>(单元格引用方式)返回行和列交差位置的单元格引用</t>
  </si>
  <si>
    <t>间接引用其他单元格</t>
  </si>
  <si>
    <t>INDIRECT</t>
  </si>
  <si>
    <t>间接引用单元格的内容</t>
  </si>
  <si>
    <t>从参数表中选择特定值</t>
  </si>
  <si>
    <t>CHOOSE</t>
  </si>
  <si>
    <t>从参数表中选择特定的值</t>
  </si>
  <si>
    <t>返回单元格引用或单元格位置</t>
  </si>
  <si>
    <t>ADDRESS</t>
  </si>
  <si>
    <t>返回单元格引用或单元格的位置</t>
  </si>
  <si>
    <t>COLUMN</t>
  </si>
  <si>
    <t>返回序列号</t>
  </si>
  <si>
    <t>ROW</t>
  </si>
  <si>
    <t>返回行序号</t>
  </si>
  <si>
    <t>计算区域内的要素</t>
  </si>
  <si>
    <t>COLUMNS</t>
  </si>
  <si>
    <t>计算列数</t>
  </si>
  <si>
    <t>ROWS</t>
  </si>
  <si>
    <t>返回引用或数组的行数</t>
  </si>
  <si>
    <t>AREAS</t>
  </si>
  <si>
    <t>计算指定区域的区域个数</t>
  </si>
  <si>
    <t>行列的转置</t>
  </si>
  <si>
    <t>TRANSPOSE</t>
  </si>
  <si>
    <t>行和列的转置</t>
  </si>
  <si>
    <t>创建超链接</t>
  </si>
  <si>
    <t>HYPERLINK</t>
  </si>
  <si>
    <t>从程序中获取数据</t>
  </si>
  <si>
    <t>RTD</t>
  </si>
  <si>
    <t>从支持COM自动化的程序中获取实时的数据</t>
  </si>
  <si>
    <t>共36个</t>
  </si>
  <si>
    <t>全角字符和半角字符的转换</t>
  </si>
  <si>
    <t>ASC</t>
  </si>
  <si>
    <t>WIDECHAR</t>
  </si>
  <si>
    <t>将半角字符转换成全角字符</t>
  </si>
  <si>
    <t>大写字母和小写字母的转换</t>
  </si>
  <si>
    <t>UPPER</t>
  </si>
  <si>
    <t>将所有英文字母转换成大写字母</t>
  </si>
  <si>
    <t>LOWER</t>
  </si>
  <si>
    <t>将所有英文字母转换成小写字母</t>
  </si>
  <si>
    <t>PROPER</t>
  </si>
  <si>
    <t>将英文单词的开头字母转换成大写字母</t>
  </si>
  <si>
    <t>将文本转换成数值</t>
  </si>
  <si>
    <t>VALUE</t>
  </si>
  <si>
    <t>将表示数值的文本转换成数值</t>
  </si>
  <si>
    <t>计算文本长度</t>
  </si>
  <si>
    <t>LEN</t>
  </si>
  <si>
    <t>LENB</t>
  </si>
  <si>
    <t>计算文本的字节数</t>
  </si>
  <si>
    <t>合并字符</t>
  </si>
  <si>
    <t>CONCATENATE</t>
  </si>
  <si>
    <t>将多个字符文本或单元格中的数据连接在一起,显示在一个单元格中</t>
  </si>
  <si>
    <t>提取文本的一部分</t>
  </si>
  <si>
    <t>LEFT</t>
  </si>
  <si>
    <t>从一个文本字符串的第一个字符开始,截取指定数目的字符</t>
  </si>
  <si>
    <t>LEFTB</t>
  </si>
  <si>
    <t>从最左边起提取指定字节数的字符</t>
  </si>
  <si>
    <t>RIGHT</t>
  </si>
  <si>
    <t>从一个文本字符串的最后一个字符开始,截取指定数目的字符</t>
  </si>
  <si>
    <t>RIGHTB</t>
  </si>
  <si>
    <t>MID</t>
  </si>
  <si>
    <t>从一个文本字符串的指定位置开始,截取指定数目的字符</t>
  </si>
  <si>
    <t>MIDB</t>
  </si>
  <si>
    <t>根据指定的位置和字节提取字符</t>
  </si>
  <si>
    <t>检索文本</t>
  </si>
  <si>
    <t>FIND</t>
  </si>
  <si>
    <t>FINDB</t>
  </si>
  <si>
    <t>检索字节位置(区分大小写)</t>
  </si>
  <si>
    <t>SEARCH</t>
  </si>
  <si>
    <t>检索字符位置(不区分大小写)</t>
  </si>
  <si>
    <t>SHARCHB</t>
  </si>
  <si>
    <t>检索字节位置(不区分大小写)</t>
  </si>
  <si>
    <t>替换文本</t>
  </si>
  <si>
    <t>SUBSTITUTE</t>
  </si>
  <si>
    <t>检索替换文本</t>
  </si>
  <si>
    <t>REPLACE</t>
  </si>
  <si>
    <t>替换指定字符数的文本</t>
  </si>
  <si>
    <t>REPLACEB</t>
  </si>
  <si>
    <t>替换指定字节数的文本</t>
  </si>
  <si>
    <t>删除多余的字符</t>
  </si>
  <si>
    <t>TRIM</t>
  </si>
  <si>
    <t>删除多余的空格字符</t>
  </si>
  <si>
    <t>CLEAN</t>
  </si>
  <si>
    <t>删除非打印字符</t>
  </si>
  <si>
    <t>操作文字代码</t>
  </si>
  <si>
    <t>CODE</t>
  </si>
  <si>
    <t>返回字符代码</t>
  </si>
  <si>
    <t>CHAR</t>
  </si>
  <si>
    <t>返回与字符代码相对的字符</t>
  </si>
  <si>
    <t>将数值显示转换成各种格式</t>
  </si>
  <si>
    <t>RMB</t>
  </si>
  <si>
    <t>给数值添加_符号和千位分隔符</t>
  </si>
  <si>
    <t>DOLLAR</t>
  </si>
  <si>
    <t>给数值附加上美元符号和千位分隔符</t>
  </si>
  <si>
    <t>BAHTTEXT</t>
  </si>
  <si>
    <t>将数值转换成泰语的货币格式的文本</t>
  </si>
  <si>
    <t>FIXED</t>
  </si>
  <si>
    <t>给数值附加千位分隔符和小数分隔符</t>
  </si>
  <si>
    <t>TEXT</t>
  </si>
  <si>
    <t>将数值转换成自由的显示格式文本</t>
  </si>
  <si>
    <t>转换成罗马数字</t>
  </si>
  <si>
    <t>ROMAN</t>
  </si>
  <si>
    <t>将数值转换成罗马数字</t>
  </si>
  <si>
    <t>检查两个文本是否完全相同</t>
  </si>
  <si>
    <t>EXACT</t>
  </si>
  <si>
    <t>检查两文本是否完全相同</t>
  </si>
  <si>
    <t>重复显示文本</t>
  </si>
  <si>
    <t>检查重复返回文本</t>
  </si>
  <si>
    <t>REPT</t>
  </si>
  <si>
    <t>根据指定次数重复文本</t>
  </si>
  <si>
    <t>返回文本</t>
  </si>
  <si>
    <t>T</t>
  </si>
  <si>
    <t>只在参数为文本时返回</t>
  </si>
  <si>
    <t>将数值转换为汉字数字</t>
  </si>
  <si>
    <t>NUMBERSTRING</t>
  </si>
  <si>
    <t>将数值转换成汉字的文本</t>
  </si>
  <si>
    <t>共78个</t>
  </si>
  <si>
    <t>计算数据的个数</t>
  </si>
  <si>
    <t>COUNT</t>
  </si>
  <si>
    <t>计算日期和数值的个数</t>
  </si>
  <si>
    <t>COUNTA</t>
  </si>
  <si>
    <t>COUNTBLANK</t>
  </si>
  <si>
    <t>计算空白单元格的个数</t>
  </si>
  <si>
    <t>求平均值</t>
  </si>
  <si>
    <t>AVERAGE</t>
  </si>
  <si>
    <t>计算数值数据的平均值</t>
  </si>
  <si>
    <t>AVERAGEA</t>
  </si>
  <si>
    <t>计算所有数据的平均值</t>
  </si>
  <si>
    <t>TRIMMEAN</t>
  </si>
  <si>
    <t>剔除异常数据后计算平均值</t>
  </si>
  <si>
    <t>GEOMEAN</t>
  </si>
  <si>
    <t>计算几何平均值</t>
  </si>
  <si>
    <t>HARMEAN</t>
  </si>
  <si>
    <t>计算调和平均值</t>
  </si>
  <si>
    <t>计算中位数和众数</t>
  </si>
  <si>
    <t>MEDIAN</t>
  </si>
  <si>
    <t>计算数据群的中位数</t>
  </si>
  <si>
    <t>MODE</t>
  </si>
  <si>
    <t>计算数据群的众数</t>
  </si>
  <si>
    <t>计算最大值和最小值</t>
  </si>
  <si>
    <t>MAX</t>
  </si>
  <si>
    <t>计算数值的最大值</t>
  </si>
  <si>
    <t>MAXA</t>
  </si>
  <si>
    <t>计算所有数据的最大值</t>
  </si>
  <si>
    <t>MIN</t>
  </si>
  <si>
    <t>计算数值的最小值</t>
  </si>
  <si>
    <t>MINA</t>
  </si>
  <si>
    <t>计算所有数据的最小值</t>
  </si>
  <si>
    <t>计算位置</t>
  </si>
  <si>
    <t>LARGE</t>
  </si>
  <si>
    <t>计算从大到小顺序下某一位置的数值</t>
  </si>
  <si>
    <t>SMALL</t>
  </si>
  <si>
    <t>计算从小开始指定位置的数值</t>
  </si>
  <si>
    <t>RANK</t>
  </si>
  <si>
    <t>制作频度的一览表</t>
  </si>
  <si>
    <t>FREQUENCY</t>
  </si>
  <si>
    <t>计算区间里所含数值的个数</t>
  </si>
  <si>
    <t>计算百分位数和四分位数</t>
  </si>
  <si>
    <t>PERCENTILE</t>
  </si>
  <si>
    <t>计算百分位数</t>
  </si>
  <si>
    <t>QUARTILE</t>
  </si>
  <si>
    <t>计算四分位数</t>
  </si>
  <si>
    <t>PERCENTRANK</t>
  </si>
  <si>
    <t>计算使用百分率的位置</t>
  </si>
  <si>
    <t>计算方差</t>
  </si>
  <si>
    <t>VAR</t>
  </si>
  <si>
    <t>通过数值计算无偏方差</t>
  </si>
  <si>
    <t>VARA</t>
  </si>
  <si>
    <t>通过所有数据计算无偏方差</t>
  </si>
  <si>
    <t>VARP</t>
  </si>
  <si>
    <t>通过数值计算方差</t>
  </si>
  <si>
    <t>VARPA</t>
  </si>
  <si>
    <t>通过所有数据计算方差</t>
  </si>
  <si>
    <t>计算标准偏差</t>
  </si>
  <si>
    <t>STDEV</t>
  </si>
  <si>
    <t>通过数值推测数据集的标准偏差</t>
  </si>
  <si>
    <t>STDEVA</t>
  </si>
  <si>
    <t>STDEVP</t>
  </si>
  <si>
    <t>通过数值计算标准偏差</t>
  </si>
  <si>
    <t>STDEVPA</t>
  </si>
  <si>
    <t>计算平均偏差和变动</t>
  </si>
  <si>
    <t>AVEDEV</t>
  </si>
  <si>
    <t>计算平均偏差</t>
  </si>
  <si>
    <t>DEVSQ</t>
  </si>
  <si>
    <t>计算变动</t>
  </si>
  <si>
    <t>数据的标准化</t>
  </si>
  <si>
    <t>STANDARDIZE</t>
  </si>
  <si>
    <t>计算标准化变量</t>
  </si>
  <si>
    <t>计算比率和偏斜度</t>
  </si>
  <si>
    <t>KURT</t>
  </si>
  <si>
    <t>计算峰度</t>
  </si>
  <si>
    <t>SKEW</t>
  </si>
  <si>
    <t>计算偏斜度</t>
  </si>
  <si>
    <t>使用回归直线进行的预测</t>
  </si>
  <si>
    <t>FORECAST</t>
  </si>
  <si>
    <t>使用回归直线进行预测</t>
  </si>
  <si>
    <t>TREND</t>
  </si>
  <si>
    <t>使用重回归分析进行预测</t>
  </si>
  <si>
    <t>SLOPE</t>
  </si>
  <si>
    <t>计算回归直线的斜率</t>
  </si>
  <si>
    <t>INTERCEPT</t>
  </si>
  <si>
    <t>计算回归直线的计算截距</t>
  </si>
  <si>
    <t>LINEST</t>
  </si>
  <si>
    <t>通过重回归分析计算系数和常数项</t>
  </si>
  <si>
    <t>STEYX</t>
  </si>
  <si>
    <t>计算回归直线的标准误差</t>
  </si>
  <si>
    <t>RSQ</t>
  </si>
  <si>
    <t>计算回归直线的的适合度</t>
  </si>
  <si>
    <t>利用指数回归曲线进行的预测</t>
  </si>
  <si>
    <t>GROWTH</t>
  </si>
  <si>
    <t>使用指数回归曲线进行预测</t>
  </si>
  <si>
    <t>LOGEST</t>
  </si>
  <si>
    <t>计算指数回归曲线的系数和底数</t>
  </si>
  <si>
    <t>计算相关系数</t>
  </si>
  <si>
    <t>计算协方差</t>
  </si>
  <si>
    <t>计算数据集对应的置信区间</t>
  </si>
  <si>
    <t>计算下限值到上限值的概率</t>
  </si>
  <si>
    <t>计算下限值到上限值概率</t>
  </si>
  <si>
    <t>计算二项分布的概率</t>
  </si>
  <si>
    <t>计算二项分布的概率和累积概率</t>
  </si>
  <si>
    <t>计算累积二项概率在基准值以下时的最大值</t>
  </si>
  <si>
    <t>计算负二项分布的概率</t>
  </si>
  <si>
    <t>计算超几何分布的概率</t>
  </si>
  <si>
    <t>POISSON</t>
  </si>
  <si>
    <t>计算POISSON分布的概率</t>
  </si>
  <si>
    <t>计算正态分布的概率</t>
  </si>
  <si>
    <t>NORMDIST</t>
  </si>
  <si>
    <t>计算正态分布的概率和累积概率</t>
  </si>
  <si>
    <t>NORMINV</t>
  </si>
  <si>
    <t>计算累积正态分布的反函数</t>
  </si>
  <si>
    <t>NORMSDIST</t>
  </si>
  <si>
    <t>计算标准正态分布的累积概率</t>
  </si>
  <si>
    <t>NORMSINV</t>
  </si>
  <si>
    <t>计算标准正态分布的累积概率的反函数</t>
  </si>
  <si>
    <t>22、</t>
  </si>
  <si>
    <t>计算对数正态分布的累积概率</t>
  </si>
  <si>
    <t>计算对数正态分布的累积概率反函数</t>
  </si>
  <si>
    <t>23、</t>
  </si>
  <si>
    <t>计算卡方分布,进行卡方检验</t>
  </si>
  <si>
    <t>计算卡方分布的上侧概率</t>
  </si>
  <si>
    <t>计算卡方分布的上侧概率的反函数</t>
  </si>
  <si>
    <t>进行卡方检验</t>
  </si>
  <si>
    <t>24、</t>
  </si>
  <si>
    <t>计算t分布的概率</t>
  </si>
  <si>
    <t>计算t分布的反函数</t>
  </si>
  <si>
    <t>进行t检验</t>
  </si>
  <si>
    <t>25、</t>
  </si>
  <si>
    <t>检验正态数据集的平均</t>
  </si>
  <si>
    <t>检验正态数据集的平均值</t>
  </si>
  <si>
    <t>26、</t>
  </si>
  <si>
    <t>计算F分布的概率</t>
  </si>
  <si>
    <t>计算F分布的反函数</t>
  </si>
  <si>
    <t>27、</t>
  </si>
  <si>
    <t>进行FISHER变换</t>
  </si>
  <si>
    <t>计算FISHER变换的反函数</t>
  </si>
  <si>
    <t>28、</t>
  </si>
  <si>
    <t>计算指数分布函数</t>
  </si>
  <si>
    <t>计算指数分布函数的值</t>
  </si>
  <si>
    <t>29、</t>
  </si>
  <si>
    <t>计算伽玛分布</t>
  </si>
  <si>
    <t>计算伽玛分布函数的值</t>
  </si>
  <si>
    <t>计算伽玛分布函数的反函数</t>
  </si>
  <si>
    <t>计算伽玛函数的自然对数</t>
  </si>
  <si>
    <t>30、</t>
  </si>
  <si>
    <t>计算Beta分布的累积函数的值</t>
  </si>
  <si>
    <t>计算Beta分布的累积函数的反函数</t>
  </si>
  <si>
    <t>31、</t>
  </si>
  <si>
    <t>计算韦伯分布</t>
  </si>
  <si>
    <t>计算韦伯分布的值</t>
  </si>
  <si>
    <t>共51个</t>
  </si>
  <si>
    <t>计算贷款的还款额和储蓄的存款额</t>
  </si>
  <si>
    <t>计算贷款的还款额和分期储蓄的存款额</t>
  </si>
  <si>
    <t>计算贷款偿还额的本金部分</t>
  </si>
  <si>
    <t>计算贷款偿还额的本金相应部分</t>
  </si>
  <si>
    <t>计算贷款偿还额的本金相应部分的累计</t>
  </si>
  <si>
    <t>计算贷款还额的利息部分</t>
  </si>
  <si>
    <t>计算贷款偿还额的利息相应部分</t>
  </si>
  <si>
    <t>计算贷款偿还额的利息相应部分的累计</t>
  </si>
  <si>
    <t>计算本金均分偿还时的利息</t>
  </si>
  <si>
    <t>计算贷款的可能借款额和首次存款</t>
  </si>
  <si>
    <t>计算当前价格</t>
  </si>
  <si>
    <t>计算储蓄和投资的到期额</t>
  </si>
  <si>
    <t>计算将来的价格</t>
  </si>
  <si>
    <t>计算利率变动存款的将来价格</t>
  </si>
  <si>
    <t>计算还款时间和存款时间</t>
  </si>
  <si>
    <t>计算贷款的偿还时间和分期储蓄的存款时间</t>
  </si>
  <si>
    <t>计算贷款或分期储蓄的利率</t>
  </si>
  <si>
    <t>计算实际利率和名目年利率</t>
  </si>
  <si>
    <t>EFFECT</t>
  </si>
  <si>
    <t>计算实际年利率</t>
  </si>
  <si>
    <t>计算名目年利率</t>
  </si>
  <si>
    <t>计算净现值</t>
  </si>
  <si>
    <t>计算定期现金流量的净现值</t>
  </si>
  <si>
    <t>由不定期的现金流量计算净现值</t>
  </si>
  <si>
    <t>计算内部利益率</t>
  </si>
  <si>
    <t>由定期的现金流量计算内部利益率</t>
  </si>
  <si>
    <t>由不定期的现金流量计算内部利益率</t>
  </si>
  <si>
    <t>由定期现金流量计算内部利益率</t>
  </si>
  <si>
    <t>计算定期付息证券</t>
  </si>
  <si>
    <t>函数计算定期付息证券的利率</t>
  </si>
  <si>
    <t>计算定期付息证券的当前价格</t>
  </si>
  <si>
    <t>计算定期付息证券的利息</t>
  </si>
  <si>
    <t>12、计算定期付息证券</t>
  </si>
  <si>
    <t>计算定期付息证券的日期信息</t>
  </si>
  <si>
    <t>计算之前的付息日</t>
  </si>
  <si>
    <t>COUPNCD</t>
  </si>
  <si>
    <t>计算最近的付息日到成交日的天数</t>
  </si>
  <si>
    <t>COUPDAYSNC</t>
  </si>
  <si>
    <t>计算成交日到下一付息日的天数</t>
  </si>
  <si>
    <t>计算付息期间的天数</t>
  </si>
  <si>
    <t>计算成交日到到期日的付息次数</t>
  </si>
  <si>
    <t>13、计算定期付息证券</t>
  </si>
  <si>
    <t>计算定期付息证券的修正期限</t>
  </si>
  <si>
    <t>计算最初付息期间不定的付息证券的年收益率</t>
  </si>
  <si>
    <t>ODDFPRICE</t>
  </si>
  <si>
    <t>计算最初付息期间不定的付息证券的当前价格</t>
  </si>
  <si>
    <t>计算最后付息期间不定的付息证券的年收益率</t>
  </si>
  <si>
    <t>ODDLPRICE</t>
  </si>
  <si>
    <t>计算最后付息期间不定的付息证券的当前价格</t>
  </si>
  <si>
    <t>到期付息证券的计算</t>
  </si>
  <si>
    <t>YIELDMAT</t>
  </si>
  <si>
    <t>计算到期付息证券的年收益率</t>
  </si>
  <si>
    <t>计算到期付息证券的当前价格</t>
  </si>
  <si>
    <t>计算到期付息证券的应计利息</t>
  </si>
  <si>
    <t>计算折价证券</t>
  </si>
  <si>
    <t>计算折价证券的年收益率</t>
  </si>
  <si>
    <t>INTRATE</t>
  </si>
  <si>
    <t>计算折价证券的到期日支付额</t>
  </si>
  <si>
    <t>计算折价证券的当前价格</t>
  </si>
  <si>
    <t>计算折价证券的折价率</t>
  </si>
  <si>
    <t>计算美国财务省的短期证券</t>
  </si>
  <si>
    <t>计算美国财务省短期证券的年收益率</t>
  </si>
  <si>
    <t>计算美国财务省短期证券的证券换算收益率</t>
  </si>
  <si>
    <t>计算美国财务省短期证券的当前价格</t>
  </si>
  <si>
    <t>美元价格用分数或小数表示</t>
  </si>
  <si>
    <t>分数表示的美元价格转换为用小数表示</t>
  </si>
  <si>
    <t>DOLLARFR</t>
  </si>
  <si>
    <t>小数表示的美元价格转换为用分数表示</t>
  </si>
  <si>
    <t>用直线折旧法计算折旧费</t>
  </si>
  <si>
    <t>用固定余额递减法计算折旧费</t>
  </si>
  <si>
    <t>用双倍余额递减法计算折旧费</t>
  </si>
  <si>
    <t>用双倍余额递减法计算指定期间的折旧费</t>
  </si>
  <si>
    <t>用年限总和折旧法计算折旧费</t>
  </si>
  <si>
    <t>法国会计系统提供的折旧费</t>
  </si>
  <si>
    <t>法国会计系统提供的折旧费计算方法</t>
  </si>
  <si>
    <t>共39个</t>
  </si>
  <si>
    <t>交换数值的进制标记</t>
  </si>
  <si>
    <t>BIN2OCT</t>
  </si>
  <si>
    <t>将二进制数转换为八进制</t>
  </si>
  <si>
    <t>将二进制数转换为十进制</t>
  </si>
  <si>
    <t>将二进制数转换为十六进制</t>
  </si>
  <si>
    <t>将八进制数转换为二进制</t>
  </si>
  <si>
    <t>将八进制数转换为十进制</t>
  </si>
  <si>
    <t>将八进制数转换为十六进制</t>
  </si>
  <si>
    <t>将十进制数转换为二进制</t>
  </si>
  <si>
    <t>将十进制数转换为八进制</t>
  </si>
  <si>
    <t>将十进制数转换为十六进制</t>
  </si>
  <si>
    <t>将十六进制数转换为二进制</t>
  </si>
  <si>
    <t>将十六进制数转换为八进制</t>
  </si>
  <si>
    <t>将十六进制数转换为十进制</t>
  </si>
  <si>
    <t>构成和分解复数</t>
  </si>
  <si>
    <t>由实部和虚部构成复数</t>
  </si>
  <si>
    <t>计算复数的实数</t>
  </si>
  <si>
    <t>计算复数的虚数</t>
  </si>
  <si>
    <t>计算共轭复数</t>
  </si>
  <si>
    <t>复数转换成模形式</t>
  </si>
  <si>
    <t>计算复数的绝对值</t>
  </si>
  <si>
    <t>计算复数的偏角</t>
  </si>
  <si>
    <t>进行复数的四则运算</t>
  </si>
  <si>
    <t>计算复数的和</t>
  </si>
  <si>
    <t>计算复数的差</t>
  </si>
  <si>
    <t>计算复数的乘积</t>
  </si>
  <si>
    <t>计算复数的商</t>
  </si>
  <si>
    <t>计算复数的平方根</t>
  </si>
  <si>
    <t>计算复数的指数函数和幂函数的值</t>
  </si>
  <si>
    <t>计算复数的指数函数的值</t>
  </si>
  <si>
    <t>计算复数的幂的值</t>
  </si>
  <si>
    <t>计算复数的对数函数值</t>
  </si>
  <si>
    <t>计算复数的自然对数</t>
  </si>
  <si>
    <t>计算复数的常用对数</t>
  </si>
  <si>
    <t>计算复数以2为底的对数</t>
  </si>
  <si>
    <t>使用复数的三角函数</t>
  </si>
  <si>
    <t>计算复数的正弦</t>
  </si>
  <si>
    <t>计算复数的余弦</t>
  </si>
  <si>
    <t>使用贝塞尔函数</t>
  </si>
  <si>
    <t>BESSELI</t>
  </si>
  <si>
    <t>使用误差函数</t>
  </si>
  <si>
    <t>计算误差函数的积分值</t>
  </si>
  <si>
    <t>计算互补误差函数的积分值</t>
  </si>
  <si>
    <t>比较数值</t>
  </si>
  <si>
    <t>查看两个值是否相等</t>
  </si>
  <si>
    <t>查看是否在基准值以上</t>
  </si>
  <si>
    <t>单位的转换</t>
  </si>
  <si>
    <t>转换数值的单位</t>
  </si>
  <si>
    <t>共17个</t>
  </si>
  <si>
    <t>查看单元格内容</t>
  </si>
  <si>
    <t>查看是否为空白</t>
  </si>
  <si>
    <t>查看是否为错误</t>
  </si>
  <si>
    <t>ISERR</t>
  </si>
  <si>
    <t>查看是否为"#N/A"以外的错误</t>
  </si>
  <si>
    <t>查看是否为"#N/A"</t>
  </si>
  <si>
    <t>查看数值是否为偶数</t>
  </si>
  <si>
    <t>查看数值是否为奇数</t>
  </si>
  <si>
    <t>查看数值是否为逻辑值</t>
  </si>
  <si>
    <t>查看是否为文本</t>
  </si>
  <si>
    <t>查看对象是否为非文本</t>
  </si>
  <si>
    <t>查看是否为数值</t>
  </si>
  <si>
    <t>查看是否为单元格引用</t>
  </si>
  <si>
    <t>返回错误值"#N/A"</t>
  </si>
  <si>
    <t>查看数据型或错误值</t>
  </si>
  <si>
    <t>查看数据类型</t>
  </si>
  <si>
    <t>查看错误的种类</t>
  </si>
  <si>
    <t>查看单元格信息</t>
  </si>
  <si>
    <t>变更为数值</t>
  </si>
  <si>
    <t>N</t>
  </si>
  <si>
    <t>参数内容变更为数值</t>
  </si>
  <si>
    <t>获取操作环境的信息</t>
  </si>
  <si>
    <t>获得关于当前操作环境的信息</t>
  </si>
  <si>
    <t>共13个</t>
  </si>
  <si>
    <t>计算满足条件的单元格的个数</t>
  </si>
  <si>
    <t>计算满足条件的数值的个数</t>
  </si>
  <si>
    <t>计算满足条件的非空文本单元格</t>
  </si>
  <si>
    <t>计算满足条件的最大值或最小值</t>
  </si>
  <si>
    <t>计算满足条件的最大值</t>
  </si>
  <si>
    <t>计算满足条件的最小值</t>
  </si>
  <si>
    <t>满足条件的列的各种计算</t>
  </si>
  <si>
    <t>计算满足条件的列的和</t>
  </si>
  <si>
    <t>计算满足条件的列的平均值</t>
  </si>
  <si>
    <t>计算满足条件的列的乘积</t>
  </si>
  <si>
    <t>提取符合条件的列</t>
  </si>
  <si>
    <t>计算数据库的方差</t>
  </si>
  <si>
    <t>从满足条件的行中计算数据库的样本(无偏)方差</t>
  </si>
  <si>
    <t>通过满足条件的行返回分散</t>
  </si>
  <si>
    <t>计算数据库的标准偏差</t>
  </si>
  <si>
    <t>从符合条件的行中计算无偏标准偏差</t>
  </si>
  <si>
    <t>从符合条件的行中计算标准偏差</t>
  </si>
  <si>
    <t>使用数据透视表</t>
  </si>
  <si>
    <t>GETPIVOTDATA</t>
  </si>
  <si>
    <t>从数据透视表中提取数据</t>
  </si>
  <si>
    <t>共2个</t>
  </si>
  <si>
    <t>欧盟成员国货币的相互转换</t>
  </si>
  <si>
    <t>SQL.REQUEST</t>
  </si>
  <si>
    <t>连接外部数据源,运行SQL查询</t>
  </si>
  <si>
    <t>函数宝典字母索引</t>
  </si>
  <si>
    <t>M</t>
  </si>
  <si>
    <t>Z</t>
  </si>
  <si>
    <t>A 类</t>
  </si>
  <si>
    <t>函数说明</t>
  </si>
  <si>
    <t>返回参数的绝对值</t>
  </si>
  <si>
    <t>ACCRINT</t>
  </si>
  <si>
    <t>返回定期付息有价证券的应计利息</t>
  </si>
  <si>
    <t>ACCRINTM</t>
  </si>
  <si>
    <t>返回到期一次性付息有价证券的应计利息</t>
  </si>
  <si>
    <t>返回数字的反余弦值</t>
  </si>
  <si>
    <t>返回参数的反双曲余弦值</t>
  </si>
  <si>
    <t>通过行号和列号返回单元格引用</t>
  </si>
  <si>
    <t>AMORDEGRC</t>
  </si>
  <si>
    <t>AMORLINC</t>
  </si>
  <si>
    <t>返回每个会计期间的折旧值,该函数为法国会计系统提供</t>
  </si>
  <si>
    <t>查看是否满足所有条件</t>
  </si>
  <si>
    <t>计算指定范围的领域数</t>
  </si>
  <si>
    <t>将字符串中的全角英文字母转换为半角字符</t>
  </si>
  <si>
    <t>返回参数的反正弦值</t>
  </si>
  <si>
    <t>返回参数的反双曲正弦值</t>
  </si>
  <si>
    <t>返回参数的反正切值</t>
  </si>
  <si>
    <t>返回给定的X及Y坐标值的反正切值</t>
  </si>
  <si>
    <t>返回参数的反双曲正切值</t>
  </si>
  <si>
    <t>返回平均偏差</t>
  </si>
  <si>
    <t>返回参数算术平均值</t>
  </si>
  <si>
    <t>计算参数所有数值的算数平均值</t>
  </si>
  <si>
    <t>B 类</t>
  </si>
  <si>
    <t>将数值转换为泰语的货币显示形式</t>
  </si>
  <si>
    <t>BESSELJ</t>
  </si>
  <si>
    <t>返回第1种Bessel函数值Kn(x)</t>
  </si>
  <si>
    <t>BESSELK</t>
  </si>
  <si>
    <t>BESSELY</t>
  </si>
  <si>
    <t>返回第2种Bessel函数值Kn(x)</t>
  </si>
  <si>
    <t>BETADIST</t>
  </si>
  <si>
    <t>返回Beta分布累积函数的函数值</t>
  </si>
  <si>
    <t>BETAINV</t>
  </si>
  <si>
    <t>返回Beta分布累积函数的反函数值</t>
  </si>
  <si>
    <t>BIN2DEC</t>
  </si>
  <si>
    <t>将二进制数转换为十进数</t>
  </si>
  <si>
    <t>BIN2HEX</t>
  </si>
  <si>
    <t>将二进制数转换为十六进数</t>
  </si>
  <si>
    <t>将二进制数转换为八进数</t>
  </si>
  <si>
    <t>BINOMDIST</t>
  </si>
  <si>
    <t>返回一元二项式分布的概率值</t>
  </si>
  <si>
    <t>C 类</t>
  </si>
  <si>
    <t>CALL</t>
  </si>
  <si>
    <t>调用DLL中所含的过程</t>
  </si>
  <si>
    <t>外部函数略</t>
  </si>
  <si>
    <t>将参数Number沿绝对值增大的方向,舍入为最接通近的整数或基数</t>
  </si>
  <si>
    <t>CELL</t>
  </si>
  <si>
    <t>返回单元格的信息</t>
  </si>
  <si>
    <t>返回对应于文字代码的字符</t>
  </si>
  <si>
    <t>CHIDIST</t>
  </si>
  <si>
    <t>CHIINV</t>
  </si>
  <si>
    <t>CHITEST</t>
  </si>
  <si>
    <t>返回独立性检验值</t>
  </si>
  <si>
    <t>从参数列表中选择值</t>
  </si>
  <si>
    <t>删除文本中不能打印的字符</t>
  </si>
  <si>
    <t>返回数字代码</t>
  </si>
  <si>
    <t>返回列编号</t>
  </si>
  <si>
    <t>返回列数</t>
  </si>
  <si>
    <t>COMPLEX</t>
  </si>
  <si>
    <t>通过实部和虚部构成复数</t>
  </si>
  <si>
    <t>将若干文字串合并到一个文字串中</t>
  </si>
  <si>
    <t>CONFIDENCE</t>
  </si>
  <si>
    <t>返回数据集的置信区间</t>
  </si>
  <si>
    <t>CONVERT</t>
  </si>
  <si>
    <t>将数字从一个度量系统转换到另一个度量系统中</t>
  </si>
  <si>
    <t>CORREL</t>
  </si>
  <si>
    <t>返回相关系统</t>
  </si>
  <si>
    <t>返回给定角度的余弦值</t>
  </si>
  <si>
    <t>返回参数的双曲余弦值</t>
  </si>
  <si>
    <t>返回日期和数值的个数</t>
  </si>
  <si>
    <t>返回参数组中非空值的个数</t>
  </si>
  <si>
    <t>返回参数组中空值的个数</t>
  </si>
  <si>
    <t>计算给定区域内满足特定条件的单元格的数目</t>
  </si>
  <si>
    <t>COUPDAYBS</t>
  </si>
  <si>
    <t>返回当前付息期内截止到成交日的天数</t>
  </si>
  <si>
    <t>COUPDAYS</t>
  </si>
  <si>
    <t>返回成交日所在的付息期的天数</t>
  </si>
  <si>
    <t>返回从成交日到下一付息日之间的天数</t>
  </si>
  <si>
    <t>返回成交日过后的下一付息日的日期</t>
  </si>
  <si>
    <t>COUPNUM</t>
  </si>
  <si>
    <t>返回成交日和到期日之间的利息应付次数</t>
  </si>
  <si>
    <t>COUPPCD</t>
  </si>
  <si>
    <t>返回成交日之前的上一付息日的日期</t>
  </si>
  <si>
    <t>COVAR</t>
  </si>
  <si>
    <t>返回协方差</t>
  </si>
  <si>
    <t>CRITBINOM</t>
  </si>
  <si>
    <t>返回使累积二项式分布大于等于临界值的最小值</t>
  </si>
  <si>
    <t>CUMIPMT</t>
  </si>
  <si>
    <t>返回贷款在给定期间累计偿还和利息数额</t>
  </si>
  <si>
    <t>CUMPRINC</t>
  </si>
  <si>
    <t>返回贷款在给定期间累计偿还和本金数额</t>
  </si>
  <si>
    <t>D 类</t>
  </si>
  <si>
    <t>通过年、月或日返回日期</t>
  </si>
  <si>
    <t>计算期间内的天数、月数或年数</t>
  </si>
  <si>
    <t>将以文字表示的日期转换成系列数</t>
  </si>
  <si>
    <t>DAVERAGE</t>
  </si>
  <si>
    <t>返回满足条件的列的平均</t>
  </si>
  <si>
    <t>从日期中返回"日"</t>
  </si>
  <si>
    <t>按照一年360天的算法,返回两日期间相差的天数</t>
  </si>
  <si>
    <t>DB</t>
  </si>
  <si>
    <t>用固定余额递减法算计折旧费</t>
  </si>
  <si>
    <t>DCOUNT</t>
  </si>
  <si>
    <t>返回满足条件的数值的个数</t>
  </si>
  <si>
    <t>DCOUNTA</t>
  </si>
  <si>
    <t>返回满足条件的非空单元格的个数</t>
  </si>
  <si>
    <t>DDB</t>
  </si>
  <si>
    <t>DEC2BIN</t>
  </si>
  <si>
    <t>将十进制数转换为二进制数</t>
  </si>
  <si>
    <t>DEC2HEX</t>
  </si>
  <si>
    <t>将十进制数转换为十六进制数</t>
  </si>
  <si>
    <t>DEC2OCT</t>
  </si>
  <si>
    <t>将十进制数转换为八进制数</t>
  </si>
  <si>
    <t>DELTA</t>
  </si>
  <si>
    <t>测试两个数值是否相等</t>
  </si>
  <si>
    <t>返回数据点与各自样本均值偏差的平方和</t>
  </si>
  <si>
    <t>DGET</t>
  </si>
  <si>
    <t>寻找满足条件的行</t>
  </si>
  <si>
    <t>DISC</t>
  </si>
  <si>
    <t>返回有价证券的贴现率</t>
  </si>
  <si>
    <t>DMAX</t>
  </si>
  <si>
    <t>返回满足条件的最大值</t>
  </si>
  <si>
    <t>DMIN</t>
  </si>
  <si>
    <t>返回满足条件的最小值</t>
  </si>
  <si>
    <t>将数值带上美元符号和千位分隔符</t>
  </si>
  <si>
    <t>DOLLARDE</t>
  </si>
  <si>
    <t>将按分数表示的美元价格转换为按小数表示</t>
  </si>
  <si>
    <t>将按小数表示的美元价格转换为按分数表示</t>
  </si>
  <si>
    <t>DPRODUCT</t>
  </si>
  <si>
    <t>返回满足条件的列的积</t>
  </si>
  <si>
    <t>DSTDEV</t>
  </si>
  <si>
    <t>通过满足条件的行返回不偏标准偏差</t>
  </si>
  <si>
    <t>DSTDEVP</t>
  </si>
  <si>
    <t>通过满足条件的行返回标准偏差</t>
  </si>
  <si>
    <t>DSUM</t>
  </si>
  <si>
    <t>返回满足条件的列的合计</t>
  </si>
  <si>
    <t>DURATION</t>
  </si>
  <si>
    <t>返回定期付息有价证券的修正期限</t>
  </si>
  <si>
    <t>DVAR</t>
  </si>
  <si>
    <t>通过满足条件的行返回不偏分散</t>
  </si>
  <si>
    <t>DVARP</t>
  </si>
  <si>
    <t>E 类</t>
  </si>
  <si>
    <t>返回数月前或数月后的日期</t>
  </si>
  <si>
    <t>返回实际年利率</t>
  </si>
  <si>
    <t>返回数月前或数月后的月末</t>
  </si>
  <si>
    <t>ERF</t>
  </si>
  <si>
    <t>返回误差函数在上下限之间的积分</t>
  </si>
  <si>
    <t>ERFC</t>
  </si>
  <si>
    <t>返回余误差函数的积分</t>
  </si>
  <si>
    <t>ERROR.TYPE</t>
  </si>
  <si>
    <t>查看错误种类</t>
  </si>
  <si>
    <t>EUROCONVERT</t>
  </si>
  <si>
    <t>欧盟货币的相互转换</t>
  </si>
  <si>
    <t>返回沿绝对值增大方向取整后最接近的偶数</t>
  </si>
  <si>
    <t>比较文本,查看是否相等</t>
  </si>
  <si>
    <t>返回自然对数的底数e的幂预算</t>
  </si>
  <si>
    <t>EXPONDIST</t>
  </si>
  <si>
    <t>返回指数分布的值</t>
  </si>
  <si>
    <t>F 类</t>
  </si>
  <si>
    <t>返回参数的阶乘</t>
  </si>
  <si>
    <t>返回参数的半阶乘</t>
  </si>
  <si>
    <t>通常表示为假(FALSE)</t>
  </si>
  <si>
    <t>FDIST</t>
  </si>
  <si>
    <t>返回F概率分布</t>
  </si>
  <si>
    <t>区分大小写,查看文本位置</t>
  </si>
  <si>
    <t>区分大小写,查看字节位置</t>
  </si>
  <si>
    <t>FINV</t>
  </si>
  <si>
    <t>返回F概率分布的反函数值</t>
  </si>
  <si>
    <t>FISHER</t>
  </si>
  <si>
    <t>返回Fisher变换</t>
  </si>
  <si>
    <t>FISHERINV</t>
  </si>
  <si>
    <t>返回Fisher变换的反函数数值</t>
  </si>
  <si>
    <t>将数值带上千位分隔符和小数点标记</t>
  </si>
  <si>
    <t>将参数沿绝对值减小的方向去尾舍入,使其等于最接近的倍数</t>
  </si>
  <si>
    <t>用回归直线进行预测</t>
  </si>
  <si>
    <t>FTEST</t>
  </si>
  <si>
    <t>返回F检验的结果</t>
  </si>
  <si>
    <t>FV</t>
  </si>
  <si>
    <t>返回将来价格</t>
  </si>
  <si>
    <t>FVSCHEDULE</t>
  </si>
  <si>
    <t>返回利率发生变动的存款的将来价格</t>
  </si>
  <si>
    <t>G 类</t>
  </si>
  <si>
    <t>GAMMADIST</t>
  </si>
  <si>
    <t>返回伽玛分布函数的值</t>
  </si>
  <si>
    <t>GAMMAINV</t>
  </si>
  <si>
    <t>返回伽玛分布函数的反函数值</t>
  </si>
  <si>
    <t>GAMMALN</t>
  </si>
  <si>
    <t>返回伽玛函数的自然对数</t>
  </si>
  <si>
    <t>返回最大公约数</t>
  </si>
  <si>
    <t>返回相乘平均(几何平均值)</t>
  </si>
  <si>
    <t>GESTEP</t>
  </si>
  <si>
    <t>(2000)从枢表中读取数据</t>
  </si>
  <si>
    <t>(2003/2000)从枢表中读取数据</t>
  </si>
  <si>
    <t>用指数回归曲线进行预测</t>
  </si>
  <si>
    <t>H 类</t>
  </si>
  <si>
    <t>HEX2BIN</t>
  </si>
  <si>
    <t>将十六进制数转换为二进制数</t>
  </si>
  <si>
    <t>HEX2DEC</t>
  </si>
  <si>
    <t>将十六进制数转换为十进制数</t>
  </si>
  <si>
    <t>HEX2OCT</t>
  </si>
  <si>
    <t>将十六进制数转换为八进制数</t>
  </si>
  <si>
    <t>在数组的首行查找并返回指定单元格的值</t>
  </si>
  <si>
    <t>将序列号转换为小时</t>
  </si>
  <si>
    <t>创建快捷方式或跳转，以打开存储在网络服务器、Intranet或Internet上的文档</t>
  </si>
  <si>
    <t>HYPGEOMDIST</t>
  </si>
  <si>
    <t>返回超几何分布</t>
  </si>
  <si>
    <t>I 类</t>
  </si>
  <si>
    <t>指定要执行的逻辑检测</t>
  </si>
  <si>
    <t>IMABS</t>
  </si>
  <si>
    <t>返回复数的绝对值（模)</t>
  </si>
  <si>
    <t>IMAGINARY</t>
  </si>
  <si>
    <t xml:space="preserve">返回复数的虚系数 </t>
  </si>
  <si>
    <t>IMARGUMENT</t>
  </si>
  <si>
    <t>返回参数 theta，一个以弧度表示的角度</t>
  </si>
  <si>
    <t>IMCONJUGATE</t>
  </si>
  <si>
    <t>返回复数的共轭复数</t>
  </si>
  <si>
    <t>IMCOS</t>
  </si>
  <si>
    <t>返回复数的余弦</t>
  </si>
  <si>
    <t>IMDIV</t>
  </si>
  <si>
    <t>返回两个复数的商</t>
  </si>
  <si>
    <t>IMEXP</t>
  </si>
  <si>
    <t>返回复数的指数</t>
  </si>
  <si>
    <t>IMLN</t>
  </si>
  <si>
    <t>返回复数的自然对数</t>
  </si>
  <si>
    <t>IMLOG10</t>
  </si>
  <si>
    <t>返回复数的常用对数</t>
  </si>
  <si>
    <t>IMLOG2</t>
  </si>
  <si>
    <t>返回复数的以 2 为底数的对数</t>
  </si>
  <si>
    <t>IMPOWER</t>
  </si>
  <si>
    <t>返回复数的整数幂</t>
  </si>
  <si>
    <t>IMPRODUCT</t>
  </si>
  <si>
    <t>返回从 2 到 29 的复数的乘积</t>
  </si>
  <si>
    <t>IMREAL</t>
  </si>
  <si>
    <t>返回复数的实系数</t>
  </si>
  <si>
    <t>IMSIN</t>
  </si>
  <si>
    <t>返回复数的正弦</t>
  </si>
  <si>
    <t>IMSQRT</t>
  </si>
  <si>
    <t>返回复数的平方根</t>
  </si>
  <si>
    <t>IMSUM</t>
  </si>
  <si>
    <t>返回两个复数的和</t>
  </si>
  <si>
    <t>(单元格引用形式)</t>
  </si>
  <si>
    <t>(数组形式)</t>
  </si>
  <si>
    <t>返回由文本值表示的引用</t>
  </si>
  <si>
    <t>INFO</t>
  </si>
  <si>
    <t>返回有关当前操作环境的信息</t>
  </si>
  <si>
    <t>将数字向下舍入为最接近的整数</t>
  </si>
  <si>
    <t>返回线性回直归线截距</t>
  </si>
  <si>
    <t>返回一次性付息证券的利率</t>
  </si>
  <si>
    <t>IPMT</t>
  </si>
  <si>
    <t>返回给定期间内投资的利息偿还额</t>
  </si>
  <si>
    <t>IRR</t>
  </si>
  <si>
    <t>返回一系列现金流的内部收益率</t>
  </si>
  <si>
    <t>ISBLANK</t>
  </si>
  <si>
    <t xml:space="preserve">如果值为空，则返回 TRUE </t>
  </si>
  <si>
    <t xml:space="preserve">如果值为除 #N/A 以外的任何错误值，则返回 TRUE </t>
  </si>
  <si>
    <t>ISERROR</t>
  </si>
  <si>
    <t>如果值为任何错误值，则返回 TRUE</t>
  </si>
  <si>
    <t>ISEVEN</t>
  </si>
  <si>
    <t>如果数字为偶数，则返回 TRUE</t>
  </si>
  <si>
    <t>ISLOGICAL</t>
  </si>
  <si>
    <t>如果值为逻辑值，则返回 TRUE</t>
  </si>
  <si>
    <t>ISNA</t>
  </si>
  <si>
    <t>如果值为 #N/A 错误值，则返回 TRUE</t>
  </si>
  <si>
    <t>ISNONTEXT</t>
  </si>
  <si>
    <t xml:space="preserve">如果值不是文本，则返回 TRUE </t>
  </si>
  <si>
    <t>ISNUMBER</t>
  </si>
  <si>
    <t>如果值为数字，则返回 TRUE</t>
  </si>
  <si>
    <t>ISODD</t>
  </si>
  <si>
    <t>如果数字为奇数，则返回 TRUE</t>
  </si>
  <si>
    <t>ISPMT</t>
  </si>
  <si>
    <t>计算在投资的特定期间内支付的利息</t>
  </si>
  <si>
    <t>ISREF</t>
  </si>
  <si>
    <t>如果值为一个引用，则返回 TRUE</t>
  </si>
  <si>
    <t>ISTEXT</t>
  </si>
  <si>
    <t>如果值为文本，则返回 TRUE</t>
  </si>
  <si>
    <t>J 类</t>
  </si>
  <si>
    <t>K 类</t>
  </si>
  <si>
    <t>返回数据集的峰值</t>
  </si>
  <si>
    <t>L 类</t>
  </si>
  <si>
    <t>返回数据集中第k个最大值</t>
  </si>
  <si>
    <t>返回最小公倍数</t>
  </si>
  <si>
    <t>返回文本值最左边的字符</t>
  </si>
  <si>
    <t>返回文本字符串中的字符个数</t>
  </si>
  <si>
    <t>返回线性趋势的参数</t>
  </si>
  <si>
    <t>返回数字的自然对数</t>
  </si>
  <si>
    <t>返回数字的指定底数的对数</t>
  </si>
  <si>
    <t>返回数字的常用对数</t>
  </si>
  <si>
    <t>返回指数趋势的参数</t>
  </si>
  <si>
    <t>LOGINV</t>
  </si>
  <si>
    <t>返回反对数正态分布</t>
  </si>
  <si>
    <t>LOGNORMDIST</t>
  </si>
  <si>
    <t>返回累积对数正态分布函数</t>
  </si>
  <si>
    <t>(向量形式)</t>
  </si>
  <si>
    <t>将文本转换为小写形式</t>
  </si>
  <si>
    <t>M 类</t>
  </si>
  <si>
    <t>在引用或数组中查找值</t>
  </si>
  <si>
    <t>返回参数列表中的最大值</t>
  </si>
  <si>
    <t>返回参数列表中的最大值，包括数字、文本和逻辑值</t>
  </si>
  <si>
    <t>返回数组的矩阵行列式</t>
  </si>
  <si>
    <t>MDURATION</t>
  </si>
  <si>
    <t>返回假设面值为 $100 的有价证券的 Macauley 修正期限</t>
  </si>
  <si>
    <t>返回给定数字的中位值</t>
  </si>
  <si>
    <t>从文本字符串中的指定位置起返回特定个数的字符</t>
  </si>
  <si>
    <t>返回参数列表中的最小值</t>
  </si>
  <si>
    <t>返回参数列表中的最小值，包括数字、文本和逻辑值</t>
  </si>
  <si>
    <t>将序列号转换为分钟</t>
  </si>
  <si>
    <t>返回数组的逆矩阵</t>
  </si>
  <si>
    <t>MIRR</t>
  </si>
  <si>
    <t>返回正负现金流在不同利率下支付的内部收益率</t>
  </si>
  <si>
    <t>返回两数组的矩阵乘积</t>
  </si>
  <si>
    <t>返回两数相除的余数</t>
  </si>
  <si>
    <t>返回数据集中出现最多的值</t>
  </si>
  <si>
    <t>将序列号转换为月</t>
  </si>
  <si>
    <t>返回按指定倍数舍入后的数字</t>
  </si>
  <si>
    <t>返回一组数字的多项式</t>
  </si>
  <si>
    <t>N 类</t>
  </si>
  <si>
    <t>返回转换为数字的值</t>
  </si>
  <si>
    <t>NA</t>
  </si>
  <si>
    <t>返回错误值 #N/A</t>
  </si>
  <si>
    <t>NEGBINOMDIST</t>
  </si>
  <si>
    <t>返回负二项式分布</t>
  </si>
  <si>
    <t>返回两个日期之间的全部工作日数</t>
  </si>
  <si>
    <t>NOMINAL</t>
  </si>
  <si>
    <t>返回名义年利率</t>
  </si>
  <si>
    <t>返回正态累积分布</t>
  </si>
  <si>
    <t>返回反正态累积分布</t>
  </si>
  <si>
    <t>返回标准正态累积分布</t>
  </si>
  <si>
    <t>对参数的逻辑值求反</t>
  </si>
  <si>
    <t>返回当前日期和时间的序列号</t>
  </si>
  <si>
    <t>NPER</t>
  </si>
  <si>
    <t>返回投资的期数</t>
  </si>
  <si>
    <t>NPV</t>
  </si>
  <si>
    <t>基于一系列定期的现金流和贴现率，返回一项投资的净现值</t>
  </si>
  <si>
    <t>O 类</t>
  </si>
  <si>
    <t>OCT2BIN</t>
  </si>
  <si>
    <t>将八进制数转换为二进制数</t>
  </si>
  <si>
    <t>OCT2DEC</t>
  </si>
  <si>
    <t>将八进制数转换为十进制数</t>
  </si>
  <si>
    <t>将八进制数转换为十六进制数</t>
  </si>
  <si>
    <t>将数字向上舍入为最接近的奇型整数</t>
  </si>
  <si>
    <t>返回首期付息日不固定的面值 $100 的有价证券的价格</t>
  </si>
  <si>
    <t>ODDFYIELD</t>
  </si>
  <si>
    <t>返回首期付息日不固定的有价证券的收益率</t>
  </si>
  <si>
    <t>返回末期付息日不固定的面值 $100 的有价证券的价格</t>
  </si>
  <si>
    <t>ODDLYIELD</t>
  </si>
  <si>
    <t>返回末期付息日不固定的有价证券的收益率</t>
  </si>
  <si>
    <t>从给定引用中返回引用偏移量</t>
  </si>
  <si>
    <t>如果任一参数为TRUE，则返回TRUE</t>
  </si>
  <si>
    <t>P 类</t>
  </si>
  <si>
    <t>PEARSON</t>
  </si>
  <si>
    <t>返回Pearson乘积矩相关系数</t>
  </si>
  <si>
    <t>返回区域中的第k个百分位值</t>
  </si>
  <si>
    <t>返回数据集中值的百分比排位</t>
  </si>
  <si>
    <t>返回给定数目对象的排列数</t>
  </si>
  <si>
    <t>返回Pi值</t>
  </si>
  <si>
    <t>PMT</t>
  </si>
  <si>
    <t>返回年金的定期付款额</t>
  </si>
  <si>
    <t>返回Poisson分布</t>
  </si>
  <si>
    <t>返回数的乘幂结果</t>
  </si>
  <si>
    <t>PPMT</t>
  </si>
  <si>
    <t>返回投资在某一给定期间内的本金偿还额</t>
  </si>
  <si>
    <t>PRICE</t>
  </si>
  <si>
    <t>返回定期付息的面值 $100 的有价证券的价格</t>
  </si>
  <si>
    <t>PRICEDISC</t>
  </si>
  <si>
    <t>返回折价发行的面值 $100 的有价证券的价格</t>
  </si>
  <si>
    <t>PRICEMAT</t>
  </si>
  <si>
    <t>返回到期付息的面值 $100 的有价证券的价格</t>
  </si>
  <si>
    <t>PROB</t>
  </si>
  <si>
    <t>返回区域中的值在上下限之间的概率</t>
  </si>
  <si>
    <t>将所有以参数形式给出的数字相乘</t>
  </si>
  <si>
    <t>将文本值中每一个单词的首字母设置为大写</t>
  </si>
  <si>
    <t>PV</t>
  </si>
  <si>
    <t>返回投资的现值</t>
  </si>
  <si>
    <t>Q 类</t>
  </si>
  <si>
    <t>返回一组数据的四分位点</t>
  </si>
  <si>
    <t>返回商的整数部分，即舍去商的小数部分。</t>
  </si>
  <si>
    <t>R 类</t>
  </si>
  <si>
    <t>将一个表示角度的数值或参数转换为弧度。</t>
  </si>
  <si>
    <t>R回一个大于等于0小于1的随机数，每次计算工作表(按F9键)将返回一个新的数值。</t>
  </si>
  <si>
    <t>产生位于两个指定数值之间的一个随机数，每次重新计算工作表(按F9键)都将返回新的数值。</t>
  </si>
  <si>
    <t>返回一个数值在一组数值中的排位(如果数据清单已经排过序了，则数值的排位就是它当前的位置)</t>
  </si>
  <si>
    <t>RATE</t>
  </si>
  <si>
    <t>返回年金的各期利率。函数RATE通过迭代法计算得出，并且可能无解或有多个解。</t>
  </si>
  <si>
    <t>RECEIVED</t>
  </si>
  <si>
    <t>返回一次性付息的有价证券到期收回的金额。</t>
  </si>
  <si>
    <t>REGISTER</t>
  </si>
  <si>
    <t>略</t>
  </si>
  <si>
    <t>REGISTER.ID</t>
  </si>
  <si>
    <t>替换文本内的字符</t>
  </si>
  <si>
    <t>根据所指定的字节数替换另一文本串中的部分文本</t>
  </si>
  <si>
    <t>按照给定的次数重复显示文本。可以通过REPT函数对单元格进行重复填充。</t>
  </si>
  <si>
    <t>按给定次数重复文本</t>
  </si>
  <si>
    <t>返回文本值最右边的字符</t>
  </si>
  <si>
    <t>将阿拉伯数字转换为文本形式的罗马数字。</t>
  </si>
  <si>
    <t>按指定位数四舍五入某个数字。</t>
  </si>
  <si>
    <t>按绝对值减小的方向舍入某一数字。</t>
  </si>
  <si>
    <t>按绝对值增大的方向舍入一个数字。</t>
  </si>
  <si>
    <t>返回给定引用的行号。</t>
  </si>
  <si>
    <t>返回给定数据点的Pearson乘积矩相关系数的平方。</t>
  </si>
  <si>
    <t>给数值添加￥符号和千位分隔符</t>
  </si>
  <si>
    <t>从支持COM自动化的程序中返回实时数据。</t>
  </si>
  <si>
    <t>S 类</t>
  </si>
  <si>
    <t>SEARCHB</t>
  </si>
  <si>
    <t>返回时间值的秒数(为0至59之间的一个整数)。</t>
  </si>
  <si>
    <t>返回幂级数的和。</t>
  </si>
  <si>
    <t>返回数字的符号。正数返回1，零返回0，负数时返回-1。</t>
  </si>
  <si>
    <t>返回某一角度的正弦值。</t>
  </si>
  <si>
    <t>返回任意实数的双曲正弦值。</t>
  </si>
  <si>
    <t>返回一个分布的不对称度.它反映以平均值为中心的分布的不对称程度,正不对称度表示不对称边的分布更趋向正值.负不对称度表示不对称边的分布更趋向负值</t>
  </si>
  <si>
    <t>SLN</t>
  </si>
  <si>
    <t>返回某项资产在一个期间中的线性折旧值</t>
  </si>
  <si>
    <t>返回经过给定数据点的线性回归拟合线方程的斜率(它是直线上任意两点的垂直距离与水平距离的比值，也就是回归直线的变化率)</t>
  </si>
  <si>
    <t>返回数据集中第k个最小值，从而得到数据集中特定位置上的数值。</t>
  </si>
  <si>
    <t>与外部数据源连接，从工作表运行查询，然后SQL.REQUEST将查询结果以数组的形式返回，而无需进行宏编程。</t>
  </si>
  <si>
    <t>返回某一正数的算术平方根。</t>
  </si>
  <si>
    <t>返回一个正实数与π的乘积的平方根。</t>
  </si>
  <si>
    <t>返回以mean为平均值，以standard-dev为标准偏差的分布的正态化数值。</t>
  </si>
  <si>
    <t>估算样本的标准偏差。它反映了数据相对于平均值(mean)的离散程度。</t>
  </si>
  <si>
    <t>计算基于给定样本的标准偏差。它与STDEV函数的区别是文本值和逻辑值(TRUE或FALSE)也将参与计算。</t>
  </si>
  <si>
    <t>返回整个样本总体的标准偏差。它反映了样本总体相对于平均值(mean)的离散程度。</t>
  </si>
  <si>
    <t>计算样本总体的标准偏差</t>
  </si>
  <si>
    <t>返回通过线性回归法计算y预测值时所产生的标准误差</t>
  </si>
  <si>
    <t>在文字串中用new_text替代old_text</t>
  </si>
  <si>
    <t>返回数据清单或数据库中的分类汇总</t>
  </si>
  <si>
    <t>根据指定条件对若干单元格、区域或引用求和</t>
  </si>
  <si>
    <t>在给定的几组数组中，将数组间对应的元素相乘，并返回乘积之和</t>
  </si>
  <si>
    <t>返回所有参数的平方和</t>
  </si>
  <si>
    <t>返回两数组中对应数值的平方差之和</t>
  </si>
  <si>
    <t>返回两数组中对应数值的平方和的总和</t>
  </si>
  <si>
    <t>返回两数组中对应数值之差的平方和</t>
  </si>
  <si>
    <t>SYD</t>
  </si>
  <si>
    <t>返回某项资产按年限总和折旧法计算的指定期间的折旧值</t>
  </si>
  <si>
    <t>T 类</t>
  </si>
  <si>
    <t>将数值转换成文本</t>
  </si>
  <si>
    <t>返回某一角度的正切值</t>
  </si>
  <si>
    <t>返回任意实数的双曲正切值</t>
  </si>
  <si>
    <t>TBILLEQ</t>
  </si>
  <si>
    <t>返回国库券的等效收益率</t>
  </si>
  <si>
    <t>TBILLPRICE</t>
  </si>
  <si>
    <t>返回面值$100的国库券的价格</t>
  </si>
  <si>
    <t>TBILLYIELD</t>
  </si>
  <si>
    <t>返回国库券的收益率</t>
  </si>
  <si>
    <t>TDIST</t>
  </si>
  <si>
    <t>返回学生的t分布</t>
  </si>
  <si>
    <t>将数值转换为按指定数字格式表示的文本</t>
  </si>
  <si>
    <t>返回某一特定时间的小数值</t>
  </si>
  <si>
    <t>返回用文本串表示的时间小数值</t>
  </si>
  <si>
    <t>TINV</t>
  </si>
  <si>
    <t>返回作为概率和自由度函数的学生氏t分布的t值</t>
  </si>
  <si>
    <t>返回系统当前日期的序列号</t>
  </si>
  <si>
    <t>返回区域的转置</t>
  </si>
  <si>
    <t>返回一条线性回归拟合线的一组纵坐标值(y值)</t>
  </si>
  <si>
    <t>除了单词之间的单个空格外，清除文本中的所有的空格</t>
  </si>
  <si>
    <t>返回数据集的内部平均值</t>
  </si>
  <si>
    <t>返回逻辑值TRUE</t>
  </si>
  <si>
    <t>将数字的小数部分截去，返回整数</t>
  </si>
  <si>
    <t>TTEST</t>
  </si>
  <si>
    <t>返回与学生氏-t检验相关的概率</t>
  </si>
  <si>
    <t>TYPE</t>
  </si>
  <si>
    <t>返回数值的类型</t>
  </si>
  <si>
    <t>U 类</t>
  </si>
  <si>
    <t>将文本转换成大写形式</t>
  </si>
  <si>
    <t>V 类</t>
  </si>
  <si>
    <t>将表示数字的文字串转换成数字</t>
  </si>
  <si>
    <t>估算样本方差</t>
  </si>
  <si>
    <t>用来估算给定样本的方差</t>
  </si>
  <si>
    <t>计算样本总体的方差</t>
  </si>
  <si>
    <t>VDB</t>
  </si>
  <si>
    <t>使用余额递减法，返回指定期间内或部分期间内的某项资产折旧值</t>
  </si>
  <si>
    <t>在数组第一列中查找，然后在行之间移动以返回单元格的值</t>
  </si>
  <si>
    <t>W 类</t>
  </si>
  <si>
    <t>返回某日期的星期数</t>
  </si>
  <si>
    <t>返回一个数字，该数字代表一年中的第几周</t>
  </si>
  <si>
    <t>WEIBULL</t>
  </si>
  <si>
    <t>返回韦伯分布</t>
  </si>
  <si>
    <t>返回指定工作日数之前或之后某日期的序列号</t>
  </si>
  <si>
    <t>X 类</t>
  </si>
  <si>
    <t>XIRR</t>
  </si>
  <si>
    <t>返回一组不定期发生的现金流的内部收益率</t>
  </si>
  <si>
    <t>XNPV</t>
  </si>
  <si>
    <t>返回一组不定期发生的现金流的净现值</t>
  </si>
  <si>
    <t>Y 类</t>
  </si>
  <si>
    <t>返回某日期的年份。其结果为1900到9999之间的一个整数</t>
  </si>
  <si>
    <t>返回start_date和end_date之间的天数占全年天数的百分比</t>
  </si>
  <si>
    <t>YIELD</t>
  </si>
  <si>
    <t>返回定期付息有价证券的收益率，函数YIELD用于计算债券收益率</t>
  </si>
  <si>
    <t>YIELDDISC</t>
  </si>
  <si>
    <t>返回折价发行的有价证券的年收益率</t>
  </si>
  <si>
    <t>返回到期付息的有价证券的年收益率</t>
  </si>
  <si>
    <t>Z 类</t>
  </si>
  <si>
    <t>ZTEST</t>
  </si>
  <si>
    <t>返回z检验的双尾P值</t>
  </si>
  <si>
    <t>注意：有的函数使用必须安装"分析工具库"加载宏.</t>
  </si>
  <si>
    <t>加载"分析工具库"的操作方法</t>
  </si>
  <si>
    <t xml:space="preserve">在"工具"菜单上,单击"加载宏". </t>
  </si>
  <si>
    <t xml:space="preserve">在"可用加载宏"列表中,选中"分析工具库"框,再单击"确定". </t>
  </si>
  <si>
    <t xml:space="preserve">如果必要,请遵循安装程序中的指示. </t>
  </si>
  <si>
    <t>函数定义：</t>
  </si>
  <si>
    <t>官方说明：</t>
  </si>
  <si>
    <t>计算从开始日期算起的数个月之前或之后的日期.返回值为1(1900年1月1日)~2958465(9999年12月31日)范围之间的整数（序列号值）.</t>
  </si>
  <si>
    <t>计算在原有的日期上增加或减少月份的</t>
  </si>
  <si>
    <t>使用格式：</t>
  </si>
  <si>
    <t>EDATE(start_date,months)</t>
  </si>
  <si>
    <t>EDATE(指定的日期,要增加或减去的月数)</t>
  </si>
  <si>
    <t>参数定义：</t>
  </si>
  <si>
    <t>start_date</t>
  </si>
  <si>
    <t>一个日期值.代表开始日期.指定表示日期的数值（序列号值）或单元格引用。"start_date"的月份被视为"0'进行计算。</t>
  </si>
  <si>
    <t>months</t>
  </si>
  <si>
    <t>指定月份数.小数部分的值被向下舍入,若指定数值为正数则返回"start_date"之后的日期(指定月份数之后),若指定数值为负数则返回"start_date"之前的日期(指定月份数之前).</t>
  </si>
  <si>
    <t>要点：</t>
  </si>
  <si>
    <t>注意事项：</t>
  </si>
  <si>
    <t>1.如果返回的序列号值小于1,或者大于2958465时,则函数返回错误值"#NUM!".此外,当指定了无效的日期时,函数返回错误值"#VALUE!".使用函数时要注意确认参数是否正确.
2.如果months不是整数,将截尾取整.
3.注意使用此函数必须安装"分析工具库"加载宏.</t>
  </si>
  <si>
    <t>＞＞＞＞＞　函数应用实例　＜＜＜＜＜</t>
  </si>
  <si>
    <t>例1</t>
  </si>
  <si>
    <t>经典用法:食品公司要计算出食品的保持期限</t>
  </si>
  <si>
    <t>食品名称</t>
  </si>
  <si>
    <t>生产日期</t>
  </si>
  <si>
    <t>保持期限</t>
  </si>
  <si>
    <t>保持期满日</t>
  </si>
  <si>
    <t>公式显示</t>
  </si>
  <si>
    <t>速冻饺子</t>
  </si>
  <si>
    <t>=EDATE(C16,D16)</t>
  </si>
  <si>
    <t>速冻包子</t>
  </si>
  <si>
    <t>速冻馄饨</t>
  </si>
  <si>
    <t>说明:在E15单元格中得出结果为该食品到些日期为过期食品.</t>
  </si>
  <si>
    <t>例2</t>
  </si>
  <si>
    <t>某公司员工工作满一年需发放2000元奖金,这里将得出所需数据.</t>
  </si>
  <si>
    <t>姓名</t>
  </si>
  <si>
    <t>加入公司日期</t>
  </si>
  <si>
    <t>月份</t>
  </si>
  <si>
    <t>发放奖金日期</t>
  </si>
  <si>
    <t>张三</t>
  </si>
  <si>
    <t>=EDATE(C25,D25)</t>
  </si>
  <si>
    <t>李四</t>
  </si>
  <si>
    <t>王五</t>
  </si>
  <si>
    <t>说明:显示该发放奖金日期,如配以TODAY函数可作为提示哪些员工已该发放.</t>
  </si>
  <si>
    <t>例3</t>
  </si>
  <si>
    <t>计算这个月那些员工刚满一年(即12个月),并提示出"该发奖金"语句.</t>
  </si>
  <si>
    <t>提示</t>
  </si>
  <si>
    <t>=IF(MONTH(C39)=MONTH(C35),"发放","")</t>
  </si>
  <si>
    <t>当前日期</t>
  </si>
  <si>
    <t>=TODAY()</t>
  </si>
  <si>
    <t>本例所涉及到的其它函数</t>
  </si>
  <si>
    <t>从日期中提取出"月",该函数使用方法详见MONTH函数页</t>
  </si>
  <si>
    <t>即刻显示出系统日期和时间函数,该函数使用方法详见TODAY函数页</t>
  </si>
  <si>
    <t>说明:本例要得到的结果为在刚满12个月的员工栏上显示"发放"字样,以作为提示方,方便查看.</t>
  </si>
  <si>
    <t>EOMONTH函数用来计算出给定的月份数之前或之后的月末的日期.返回为1(1900年1月1日)~2958465(999年12月31日)范围之间的整数(序列号值).</t>
  </si>
  <si>
    <t>在已知的日期上计算出给定的月份数之前或之后的日期,并自动改日期为计算后的月份的的最后一天</t>
  </si>
  <si>
    <t>EOMONTH(start_date,months)</t>
  </si>
  <si>
    <t>EOMONTH(指定的日期,需要计算的给定的月数)</t>
  </si>
  <si>
    <t>指定表示日期的数值(序列号值)或单元格引用."start_date"的月份被视为"0'进行计算.</t>
  </si>
  <si>
    <t>指定月份数.小数部分的值被向下舍入,若指定数值为正数则返回"start_date"之后的日期(指定月份数之后的月末),若指定数值为负数则返回"start_date"之前的日期(指定月份数之前的月末).</t>
  </si>
  <si>
    <t>1.如果返回的序列号值小于1,或者大于2958465时,则函数返回错误值"#NUM!".此外,当指定了无效的日期时,函数返回错误值"#VALUE!".使用函数时要注意确认参数是否正确.
2.如果months不是整数,将截尾取整.
3.注意使用些函数必须安装"分析工具库"加载宏.</t>
  </si>
  <si>
    <t>经典用法:计算下次付款日期</t>
  </si>
  <si>
    <t>预定付款日一览表</t>
  </si>
  <si>
    <t>应付项</t>
  </si>
  <si>
    <t>付款日</t>
  </si>
  <si>
    <t>已付款</t>
  </si>
  <si>
    <t>下个付款日</t>
  </si>
  <si>
    <t>通讯费</t>
  </si>
  <si>
    <t>每月月末</t>
  </si>
  <si>
    <t>电费</t>
  </si>
  <si>
    <t>每二个月月末</t>
  </si>
  <si>
    <t>水费</t>
  </si>
  <si>
    <t>每三个月的月末</t>
  </si>
  <si>
    <t>用来计算给定日期之前或之后的除节假日和双休日之外的日期.返回日期值为1(1900年1月1日)~~2958465(999年12月31日)范围之间的整数(序列号值).</t>
  </si>
  <si>
    <t>一般用于计算下一个工作日.能在周末休息日上增加自己特定的休息日期.</t>
  </si>
  <si>
    <t>WORKDAY(start_date,days,holidays)</t>
  </si>
  <si>
    <t>WORKDAY(指定日期,几个工作日,自己特定的非工作日)</t>
  </si>
  <si>
    <t>指定表示日期的数值(序列号值)或单元格引用.start_date有月份被视为"0"进行计算.</t>
  </si>
  <si>
    <t>days</t>
  </si>
  <si>
    <t>指定直接给定的日期(不包括周末和节假日).小数部分的值被向下舍入,若指定数值为正数则返回"start_date"之后的日期,若指定数值为负数则返回"start_date"之前的日期.</t>
  </si>
  <si>
    <t>holidays</t>
  </si>
  <si>
    <t>指定节日或假日等休息日.可以指定序列号值、单元格引用和数组常量.此参数可以省略.当省略了此参数时,返回除了周末之外的,直到给定日期天数.</t>
  </si>
  <si>
    <t>当在工作表上编制了休息日列表时,可以用做参数的"holidays".此外,除了列表之外,也可使用数组常量.</t>
  </si>
  <si>
    <t>1.当指定的"start_date"或"holidays"的值无法识别为日期时,返回错误值"#VALUE!",如果当"start_date"或"days"的和小于1或者大于2958465时,则函数返回错误值"#NUM!".此外,当指定了无效的日期时,使用函数时要注意确认参数是否正确.
2.注意使用些函数必须安装"分析工具库"加载宏.</t>
  </si>
  <si>
    <t>经典用法:</t>
  </si>
  <si>
    <t>从接收日开始计算,计算除了周末和节假日之外的4个工作日之后的发送日期.在单元格中输入开始日,除了周六、周日和节假日之外的4天之后的序列号值,将该序列号值作用为日期显示在中.</t>
  </si>
  <si>
    <t>接收日</t>
  </si>
  <si>
    <t>发送日</t>
  </si>
  <si>
    <t>=WORKDAY(C216,4,D219:D221)</t>
  </si>
  <si>
    <t>节假日</t>
  </si>
  <si>
    <t>国庆假期</t>
  </si>
  <si>
    <t>用来计算指定期间内的,除了周六、日和休息日之外的工作天数</t>
  </si>
  <si>
    <t>计算实际在工作的天数</t>
  </si>
  <si>
    <t>NETWORKDAYS(start_date,end_date,holidays)</t>
  </si>
  <si>
    <t>NETWORKDAYS(开始日期,结束日期,自己特定的非工作日)</t>
  </si>
  <si>
    <t>指定表示日期的数值(序列号值)或单元格引用."start_date"的月份被视为"0"进行计算.</t>
  </si>
  <si>
    <t>end_date</t>
  </si>
  <si>
    <t>指定序列号值或单元格引用.</t>
  </si>
  <si>
    <t>指定节日或假日等休息日.可以指定序列号值、单元格引用和数组常量.此参数可以省略.当省略了此参数时,返回除了周六、日之外的指定期间内的天数.</t>
  </si>
  <si>
    <t>1.当指定的值无法识别为日期时,返回错误值"#VALUE!",使用函数时要注意确认参数是否正确.
2.注意使用些函数必须安装"分析工具库"加载宏.</t>
  </si>
  <si>
    <t>经典用法:计算除了周六、日和休息日之外的工作天数</t>
  </si>
  <si>
    <t>开始日</t>
  </si>
  <si>
    <t>结束日</t>
  </si>
  <si>
    <t>工作天数</t>
  </si>
  <si>
    <t>=NETWORKDAYS(C315,C316,D319:D321)</t>
  </si>
  <si>
    <t>计算期间内的年数、月数、天数.以指定的"单位"进行天数计算,通过更改"单位",可以进行6种类型天数的计算.</t>
  </si>
  <si>
    <t>DATEDIF(start_date,end_date,"y")、=DATEDIF(start_date,end_date,"m")、=DATEDIF(start_date,end_date,"d")、、=DATEDIF(start_date,end_date,"ym")、=DATEDIF(start_date,end_date,"yd")、=DATEDIF(date1,date2,"md")</t>
  </si>
  <si>
    <t>DATEDIF(开始日期,结束日期,要计算的单位)</t>
  </si>
  <si>
    <t>y:计算满年数,返回值为0以上的整数;m:计算满月数,返回值为0以上的整数;d:计算满日数,返回值为0以上的整数;ym:计算不满一年的月数,返回值为1~11之间的整数;yd计算不满一年的天数,返回值为0~365之间的整数;md:计算不满意一个月的天数,返回值为0~30之间的整数.</t>
  </si>
  <si>
    <t>不能从"插入函数"对话框中输入.全使用时必须直接键盘输入单元格中.</t>
  </si>
  <si>
    <t>当start_date或end_date中指定的值无法识别为日期时返回错误值"#VALUE!".当返回值为负数时,或者y、m、d、ym、yd、md参数没有用双引号括住时,返回错误值"#NAME!".</t>
  </si>
  <si>
    <t>经典用法:计算周岁</t>
  </si>
  <si>
    <t>出生日期</t>
  </si>
  <si>
    <t>调查日</t>
  </si>
  <si>
    <t>周岁数</t>
  </si>
  <si>
    <t>不满1年的月数</t>
  </si>
  <si>
    <t>不满1全月的天数</t>
  </si>
  <si>
    <t>按照一年360天的算法，返回两日期间相差的天数</t>
  </si>
  <si>
    <t>按照一年360天的算法(每个月30天,一年共计12个月),返回两日期间相差的天数.</t>
  </si>
  <si>
    <t>按照一年360天的算法,从已知的一段时间内,求期间相差的天数.</t>
  </si>
  <si>
    <t>DAYS360(start_date,end_date,method)</t>
  </si>
  <si>
    <t>DAYS360(开始日期,结束日期,计算的方式)</t>
  </si>
  <si>
    <t>method</t>
  </si>
  <si>
    <t>用逻辑值指定计算方式.FALSE或省略:以美国NASD方式进行计算;TRUE:以欧洲方法进行计算.</t>
  </si>
  <si>
    <t>此函数按一年360天来计算天数,因此与实际的一年天数有出入,请注意.</t>
  </si>
  <si>
    <t>1.当指定的"start_date"或"end_date"的值无法识别为日期时,返回错误值"#VALUE!"
2.在证券交易中,有时按一年360天进行计算.</t>
  </si>
  <si>
    <t>经典用法:计算天数</t>
  </si>
  <si>
    <t>NASD方式</t>
  </si>
  <si>
    <t>=DAYS360(C515,C516,FALSE)</t>
  </si>
  <si>
    <t>关于NASD方法与欧洲方法</t>
  </si>
  <si>
    <t>NASD方法</t>
  </si>
  <si>
    <t>欧洲方法</t>
  </si>
  <si>
    <t>→</t>
  </si>
  <si>
    <t>30日</t>
  </si>
  <si>
    <t>31日</t>
  </si>
  <si>
    <t>2月29日</t>
  </si>
  <si>
    <t>以1年为"1"时所占的比率的形式计算出从"start_date"到"end_date"之间的天数.返回值为包含小数的数值.</t>
  </si>
  <si>
    <t>从已知的一段时间内,求它在一年所占的比率.</t>
  </si>
  <si>
    <t>YEARFRAC(start_date，end_date，basis)</t>
  </si>
  <si>
    <t>YEARFRAC(开始日期,结束日期,计算的方式)</t>
  </si>
  <si>
    <t>指定序列号值或单元格引用.以"start_date"的次日为"1"进行计算.</t>
  </si>
  <si>
    <t>basis</t>
  </si>
  <si>
    <t>指定表示用于计算天数的基准天数(月/年)的值.如果此参数省略则视为指定值.
0或省略:30天/360天(NASD方法)
1:实际天数/实际天数
2.实际天数/360天
3.实际天数/365天
4.30天/360天(欧洲方法)</t>
  </si>
  <si>
    <t>此函数的返回值以含小数的形式显示.如果要换成百分比形式显示,则必须通过"单元格格式"对话将数字显示格式更改为"百分比"的形式</t>
  </si>
  <si>
    <t>1.当指定的"start_date"或"end_date"的值无法识别为日期时,返回错误值"#VALUE!"
2.当"basis"中指定的值不在0~4范围内时返回错误值"#NUM!"</t>
  </si>
  <si>
    <t>经典用法:计算下面日期在1年中的所占比率</t>
  </si>
  <si>
    <t>项目开始日</t>
  </si>
  <si>
    <t>项目完成日</t>
  </si>
  <si>
    <t>占年间比率</t>
  </si>
  <si>
    <t>=YEARFRAC(C615,C616,1)</t>
  </si>
  <si>
    <t>返回一个数字,该数字代表一年中的第几周.</t>
  </si>
  <si>
    <t>计算某天在一年中是第几个星期</t>
  </si>
  <si>
    <t>WEEKNUM(serial_num，return_type)</t>
  </si>
  <si>
    <t>WEEKNUM(日期,2)</t>
  </si>
  <si>
    <t>serial_num</t>
  </si>
  <si>
    <t>return_type</t>
  </si>
  <si>
    <t>指定每星期的第一天</t>
  </si>
  <si>
    <t>用来计算出当以一年的第一个星期为"1"时,指定的日期处于第几个星期中.</t>
  </si>
  <si>
    <t>1.当指定的"serial_num"的值无法识别为日期时,返回错误值"#VALUE!",如果当"return_type"中指定的值不是1(或者省略)或2时,则函数返回错误值"#NUM!".此外,当指定了无效的日期时,使用函数时要注意确认参数是否正确.
2.注意使用些函数必须安装"分析工具库"加载宏.
3.有的国家以周日为一周的开始日,有的国家以周一为一周的开始日.我国以"2"来计算.</t>
  </si>
  <si>
    <t>某公司要以周为周期的销售报表及指定星期几的销售报表</t>
  </si>
  <si>
    <t>日期</t>
  </si>
  <si>
    <t>计算一周中
的第几天</t>
  </si>
  <si>
    <t>计算一年中的第几周</t>
  </si>
  <si>
    <t>日销售</t>
  </si>
  <si>
    <t>……</t>
  </si>
  <si>
    <t>公式显示(计算一年中的第几周)</t>
  </si>
  <si>
    <t>=WEEKNUM(B716,2)</t>
  </si>
  <si>
    <t>公式显示(计算一周中的第几天)</t>
  </si>
  <si>
    <t>=WEEKDAY(B716,2)</t>
  </si>
  <si>
    <t>求本年度某周的销售</t>
  </si>
  <si>
    <t>周数</t>
  </si>
  <si>
    <t>周销售</t>
  </si>
  <si>
    <t>求本年度一周内的周日的销售</t>
  </si>
  <si>
    <t>指定周几</t>
  </si>
  <si>
    <t>销售</t>
  </si>
  <si>
    <t>返回某日期的星期数,该函数使用方法详见WEEKDAY函数页</t>
  </si>
  <si>
    <t>对满足条件的单元格的数值求和,该函数使用方法详见SUMIF函数页</t>
  </si>
  <si>
    <t>从指定的年、月、日来计算日期序列号值.</t>
  </si>
  <si>
    <t>DATE(year,month,day)</t>
  </si>
  <si>
    <t>DATE(年,月,日)</t>
  </si>
  <si>
    <t>year</t>
  </si>
  <si>
    <t>参数 year 可以为一到四位.Excel 将根据所使用的日期系统解释 year 参数.Excel支持1900年和1904年两种日期系统,这两种日期系统使用了不同的日期作为参照基础,00年日期系统规定1900年的1月1日为第一天,其存储的日期系列编号为1,最后天是9999年12月31日.04日期系统规定1904年1月1日为第一天,基存储的日期系列为0,最后一天同上.系统默认为1900日期系统.</t>
  </si>
  <si>
    <t>month</t>
  </si>
  <si>
    <t>以整数的形式指定日期的"月"部分的数值,或者指定单元格引用.如果指定数大于12,则被视为下一年的1月之后的数值.如果指定的数值小于0,则被视为指定了前一个月份.</t>
  </si>
  <si>
    <t>day</t>
  </si>
  <si>
    <t>以整数的形式指定日期的"日"部分的数值,或者指定单元格引用.如果指定数大于月份的最后一天,则被视为下一月份的1日之后的数值.如果指定的数值小于0,则被视为指定了前一个月份.</t>
  </si>
  <si>
    <t>此函数也可以将公式指定为参数.</t>
  </si>
  <si>
    <t>当参数中指定了数值范围外的值时,返回错误值"#VALUE!".因此,使用函数时要注意确认参数是否正确.</t>
  </si>
  <si>
    <t>计算本月付款日</t>
  </si>
  <si>
    <t>付款年份</t>
  </si>
  <si>
    <t>价款月份</t>
  </si>
  <si>
    <t>付款一览表</t>
  </si>
  <si>
    <t>项目</t>
  </si>
  <si>
    <t>本月付款日</t>
  </si>
  <si>
    <t>保险费</t>
  </si>
  <si>
    <t>=DATE($B$17,$C$17,C21)</t>
  </si>
  <si>
    <t>=$B$17&amp;"年"&amp;$C$17&amp;"月"&amp;C21&amp;"日"</t>
  </si>
  <si>
    <t>电气费</t>
  </si>
  <si>
    <t>电话费</t>
  </si>
  <si>
    <t>从左右两表中可以看出,此函数与"&amp;"的功能是相似的,可以替代使用</t>
  </si>
  <si>
    <t>&amp;</t>
  </si>
  <si>
    <t>连接符,该函数使用方法详见&amp;函数页</t>
  </si>
  <si>
    <t>从表示日期的文本中计算出表示日期的数值(序列号值).</t>
  </si>
  <si>
    <t>把日期换成数字</t>
  </si>
  <si>
    <t>DATEVALUE(date_text)</t>
  </si>
  <si>
    <t>DATEVALUE(要计算的单元格)</t>
  </si>
  <si>
    <t>date_text</t>
  </si>
  <si>
    <t>以文本的形式指定的日期.</t>
  </si>
  <si>
    <t>此函数引用的单元格内的日期必须是文本格式,即在先写"'"(单引号),然后输入日期.如:'2010-3-2 或先将单元格设置成文本格式再输入日期.</t>
  </si>
  <si>
    <t>当参数中引用了日期形式的文本内容时,返回错误值"#VALUE!".因此,使用函数时要注意确认参数是否正确.</t>
  </si>
  <si>
    <t>经典用法:计算员工进入公司的天数</t>
  </si>
  <si>
    <t>进入公司日期</t>
  </si>
  <si>
    <t>工作时间</t>
  </si>
  <si>
    <t>2010-3-2</t>
  </si>
  <si>
    <t>=DATEVALUE($B$120)-DATEVALUE(C114)</t>
  </si>
  <si>
    <t>2011-6-5</t>
  </si>
  <si>
    <t>2009-10-6</t>
  </si>
  <si>
    <t>2011-11-2</t>
  </si>
  <si>
    <t>例1公式解释:将调查日期与进入公司日期的日期转换成数值,再减,余数即为其在公司工作的总天数.</t>
  </si>
  <si>
    <t>函数另几种写法</t>
  </si>
  <si>
    <t>公式</t>
  </si>
  <si>
    <t xml:space="preserve"> 说明（结果） </t>
  </si>
  <si>
    <t>=DATEVALUE("2011-8-22")</t>
  </si>
  <si>
    <t xml:space="preserve"> 使用1900日期系统时的文本日期序列号(40777) </t>
  </si>
  <si>
    <t>=DATEVALUE("22-AUG-11")</t>
  </si>
  <si>
    <t>=DATEVALUE("2011-2-23")</t>
  </si>
  <si>
    <t xml:space="preserve"> 使用1900日期系统时的文本日期序列号(40597) </t>
  </si>
  <si>
    <t>=DATEVALUE("5-JUL")</t>
  </si>
  <si>
    <t xml:space="preserve"> 使用1900日期系统时的文本日期序列号，此时假定计算机内置时钟设置为2011年(40729) </t>
  </si>
  <si>
    <t xml:space="preserve">注意:
若要查看序列号所代表的日期,请选择该日期所在的单元格,单击"格式"菜单上的"单元格",再单击"数字"选项卡,然后单击"分类"框中的"日期". </t>
  </si>
  <si>
    <t>从时、分、秒来计算出时间的序列号值.返回值为0(上午0时)~0.99999999(下午11时59分59秒)之间的数值(序列号值)</t>
  </si>
  <si>
    <t>把分散的日期合并换成AM或PM形式的时间表示方式</t>
  </si>
  <si>
    <t>TIME(hour,minute,secod)</t>
  </si>
  <si>
    <t>TIME(时,分,秒)</t>
  </si>
  <si>
    <t>hour</t>
  </si>
  <si>
    <t>用0~23之间的整数指定为时间的"时"参数的数值,或者指定单元格引用.当指定数值大于24时,指定的数值为该数值除以24之后的余数.</t>
  </si>
  <si>
    <t>minute</t>
  </si>
  <si>
    <t>以整数指定为时间的"分"参数的数值,或者指定单元格引用.当指定数值大于60时,则被视为指定下一个"时",如果指定数值小于0时,则被视为指定了上一个"时".</t>
  </si>
  <si>
    <t>secod</t>
  </si>
  <si>
    <t>以整数指定为时间的"秒"参数的数值,或者指定单元格引用.当指定数值大于60时,则被视为指定下一个"分",如果指定数值小于0时,则被视为指定了上一个"分".</t>
  </si>
  <si>
    <t>当表示0时、0分、0秒时,可以省略参数.但是,要注意的是,",(逗号)"不能省略.例:"13时0分0秒"可以指定为 =TIME(13,,)</t>
  </si>
  <si>
    <t>当参数中指定了数值无法识别为时间时,返回错误值"#VALUE!".因此,使用函数时要注意确认参数是否正确.</t>
  </si>
  <si>
    <t>时</t>
  </si>
  <si>
    <t>分</t>
  </si>
  <si>
    <t>秒</t>
  </si>
  <si>
    <t>结果</t>
  </si>
  <si>
    <t>=TIME(C216,D216,E216)</t>
  </si>
  <si>
    <t>=TIME(C217,D217,)</t>
  </si>
  <si>
    <t>=TIME(C218,D218,E218)</t>
  </si>
  <si>
    <t>此公式说明:虽然"时"是23,但分是负数,要减去-10，即退回晚上22点</t>
  </si>
  <si>
    <t>用来表示时间的文本中计算出时间序列号值.返回值为0(0时0分0秒)~0.999988426(23时59分59秒)之间的数值</t>
  </si>
  <si>
    <t>求已知的时间段内的相关数,可以是"时"、"分"、"秒".</t>
  </si>
  <si>
    <t>TIMEVALUE(time_text)</t>
  </si>
  <si>
    <t>TIMEVALUE(时间)</t>
  </si>
  <si>
    <t>time_text</t>
  </si>
  <si>
    <t>以24小时制的形式指定表示时间文本指定.指定表示时间文本时,日期用"""(双引号)"括住.</t>
  </si>
  <si>
    <t>此函数引用的单元格内的时间必须是文本格式,即在先写"'"(单引号),然后输入时间.如:'08:23 或先将单元格设置成文本格式再输入时间.</t>
  </si>
  <si>
    <t>经典用法:计算员工出勤</t>
  </si>
  <si>
    <t>出勤表</t>
  </si>
  <si>
    <t>出勤时间</t>
  </si>
  <si>
    <t>上班误差时间</t>
  </si>
  <si>
    <t>显示迟到时间</t>
  </si>
  <si>
    <t>09:30</t>
  </si>
  <si>
    <t>=IF((TIMEVALUE(C314)-TIMEVALUE($B$322))*24*60&lt;=0,"",(TIMEVALUE(C314)-TIMEVALUE($B$322))*24*60)</t>
  </si>
  <si>
    <t>09:05</t>
  </si>
  <si>
    <t>08:58</t>
  </si>
  <si>
    <t>08:56</t>
  </si>
  <si>
    <t>09:16</t>
  </si>
  <si>
    <t>08:55</t>
  </si>
  <si>
    <t>规定上班时间</t>
  </si>
  <si>
    <t>09:00</t>
  </si>
  <si>
    <t>根据条件满足与否返回不同的值,该函数使用方法详见IF函数页</t>
  </si>
  <si>
    <t>公式解释</t>
  </si>
  <si>
    <t>TIMEVALUE($B$322))*24*60:之所以要乘24,是因为1天为24小时,1小时是用公式1/24计算得出.之所以要乘60,是因为1小时为60分钟,1分钟用公式1/60计算得出.如要得出秒,那么后面乘写上*60,就得出到秒为至</t>
  </si>
  <si>
    <t>IF:是判断结果是否小于0,如小于0,那么就显示,大于0就在单元格显示结果</t>
  </si>
  <si>
    <t>返回计算机系统的当前日期</t>
  </si>
  <si>
    <t>显示系统当前的日期</t>
  </si>
  <si>
    <t>TODAY()</t>
  </si>
  <si>
    <t>该函数没有参数,但必须要有().而且括号中输入任何参数,都返回错误值.</t>
  </si>
  <si>
    <t>由于TODAY函数返回的当前日期为序列号,可以进行加、减运算,所以重新打开文件或是按下F9键都可更新TODAY函数返回的日期.如果您不想更新输入的日期,可以按"Ctrl+；"快捷键来输入当前日期,使用此方法的缺点是不可以作为序列号进行加、减运算.</t>
  </si>
  <si>
    <t>经典用法:技巧：使用“Ctrl+ ；”快捷键输入当天日期</t>
  </si>
  <si>
    <t>TODAY在使用最大问题是重新打开文件或是按下F9键都可更新TODAY函数返回的日期,文件仅仅作为输入当天的数据参考,那么您就必须使用"Ctrl+ ；"快捷键来输入当天的时间.这样,不论您什么时间打开,该天的订单和到货日期都不会有变化.方法很简单,选中要输入当天日期的单元格,然后同时按下"Ctrl+ ；"快捷键即可.</t>
  </si>
  <si>
    <t>=TEXT(TODAY(),"yyyy-mm-dd")</t>
  </si>
  <si>
    <t>=TEXT(TODAY(),"yy-mm-dd")</t>
  </si>
  <si>
    <t>说明:有时候在表格在另一台电脑上使用时,格式会显示非时间格式,那就使用上面的公式格式</t>
  </si>
  <si>
    <t>项目倒计时</t>
  </si>
  <si>
    <t>当前时间</t>
  </si>
  <si>
    <t>预计完成时间</t>
  </si>
  <si>
    <t>上面的时间正确的是应该用TODAY函数,为了不使在您打开文件时日期行动更新,用了"Ctrl+ ；"快捷键.</t>
  </si>
  <si>
    <t>返回计算机系统的当前日期和时间</t>
  </si>
  <si>
    <t>显示系统当前的日期和时间</t>
  </si>
  <si>
    <t>NOW()</t>
  </si>
  <si>
    <t>由于NOW函数返回的当前日期为序列号,可以进行加、减运算,所以重新打开文件或是按下F9键都可更新NOW函数返回的日期和时间.</t>
  </si>
  <si>
    <t>=NOW()</t>
  </si>
  <si>
    <t>将系列数转换为年</t>
  </si>
  <si>
    <t>YEAR(serial_number)</t>
  </si>
  <si>
    <t>YEAR(要查的单元格)</t>
  </si>
  <si>
    <t>serial_number</t>
  </si>
  <si>
    <t>Serial_number为一个日期值,其中包含要查找的年份.日期有多种输入方式:带引号的文本串、系列数或其他公式或函数的结果.</t>
  </si>
  <si>
    <t>当指定的"serial_number"的值无法识别为日期时,返回错误值"#VALUE!".</t>
  </si>
  <si>
    <t>经典用法:下表为各种日期时间格式,都可提取"年"</t>
  </si>
  <si>
    <t>=YEAR(B14)</t>
  </si>
  <si>
    <t>2011/10/18</t>
  </si>
  <si>
    <t>将系列数转换为月</t>
  </si>
  <si>
    <t>MONTH(serial_number)</t>
  </si>
  <si>
    <t>MONTH(要查的单元格)</t>
  </si>
  <si>
    <t>Serial_number为一个日期值,其中包含要查找的月份.日期有多种输入方式:带引号的文本串、系列数或其他公式或函数的结果.</t>
  </si>
  <si>
    <t>经典用法:表格自动输入月份</t>
  </si>
  <si>
    <t>月销售表</t>
  </si>
  <si>
    <t>**店</t>
  </si>
  <si>
    <t>合计</t>
  </si>
  <si>
    <t>=MONTH(B116)</t>
  </si>
  <si>
    <t>=IF(B114&lt;=6,"上半年","下半年")</t>
  </si>
  <si>
    <t>B64单元格显示当前月份</t>
  </si>
  <si>
    <t>利用IF函数判断上下半年</t>
  </si>
  <si>
    <t>将系列数转换为日</t>
  </si>
  <si>
    <t>DAY(serial_number)</t>
  </si>
  <si>
    <t>DAY(要查的单元格)</t>
  </si>
  <si>
    <t>Serial_number为一个日期值,其中包含要查找的天数.日期有多种输入方式:带引号的文本串、系列数或其他公式或函数的结果.</t>
  </si>
  <si>
    <t>经典用法:下表为各种日期时间格式,都可提取"日"</t>
  </si>
  <si>
    <t>=DAY(B215)</t>
  </si>
  <si>
    <t>返回某日期的星期数.在默认情况下,它的值为1(星期天)到7(星期六)之间的一个整数.</t>
  </si>
  <si>
    <t>WEEKDAY(serial_number，return_type)</t>
  </si>
  <si>
    <t>WEEKDAY(要查的单元格,2)</t>
  </si>
  <si>
    <t>serial_number代表指定的日期或引用含有日期的单元格.日期有多种输入方式:带引号的文本串、系列数或其他公式或函数的结果.</t>
  </si>
  <si>
    <t xml:space="preserve">定星期的开始日和计算方式.return_type代表星期的表示方式[当Sunday（星期日）为1、Saturday（星期六）为7时，该参数为1；当Monday（星期一）为1、Sunday（星期日）为7时，该参数为2（这种情况符合中国人的习惯）；当Monday（星期一）为0、Sunday（星期日）为6时，该参数为3]。 </t>
  </si>
  <si>
    <t>经典用法:下表为各种日期时间格式,某日期的星期数</t>
  </si>
  <si>
    <t>星期数</t>
  </si>
  <si>
    <t>=WEEKDAY(B366,2)</t>
  </si>
  <si>
    <t>定义单元格的显示方式</t>
  </si>
  <si>
    <t>星期的格式符号</t>
  </si>
  <si>
    <t>单元格的显示</t>
  </si>
  <si>
    <t>aaaa</t>
  </si>
  <si>
    <t>星期日~星期六</t>
  </si>
  <si>
    <t>aaa</t>
  </si>
  <si>
    <t>日~六</t>
  </si>
  <si>
    <t>dddd</t>
  </si>
  <si>
    <t>Sunday~Saturday</t>
  </si>
  <si>
    <t>ddd</t>
  </si>
  <si>
    <t>wun~Sat</t>
  </si>
  <si>
    <t>说明:也可不在函数后面加"AAAA"等之类的语句,可直接到"单元格格式"--"数字"--"自定义"里设置"AAAA"等语句,能达到同样显示</t>
  </si>
  <si>
    <t>返回时间值的小时数.即一个介于0到23之间的整数</t>
  </si>
  <si>
    <t>显示小时数</t>
  </si>
  <si>
    <t>HOUR(serial_number)</t>
  </si>
  <si>
    <t>HOUR(要查的单元格)</t>
  </si>
  <si>
    <t>表示一个时间值,其中包含要查找的小时.时间有多种输入方式:带引号的文本字符串、十进制数或其他公式或函数的结果.</t>
  </si>
  <si>
    <t>当指定的"serial_number"的值无法识别为时间时,返回错误值"#VALUE!".</t>
  </si>
  <si>
    <t>=HOUR(B14)</t>
  </si>
  <si>
    <t>返回时间值的分钟数.即一个介于0到59之间的整数</t>
  </si>
  <si>
    <t>显示分钟数</t>
  </si>
  <si>
    <t>MINUTE(serial_number)</t>
  </si>
  <si>
    <t>MINUTE(要查的单元格)</t>
  </si>
  <si>
    <t>表示一个时间值,其中包含要查找的分钟.时间有多种输入方式:带引号的文本字符串、十进制数或其他公式或函数的结果.</t>
  </si>
  <si>
    <t>=MINUTE(B113)</t>
  </si>
  <si>
    <t>从时间中提取出"秒"</t>
  </si>
  <si>
    <t>返回时间值的秒钟数.即一个介于0到59之间的整数</t>
  </si>
  <si>
    <t>显示秒钟数</t>
  </si>
  <si>
    <t>SECOND(serial_number)</t>
  </si>
  <si>
    <t>SECOND(要查的单元格)</t>
  </si>
  <si>
    <t>表示一个时间值,其中包含要查找的秒钟.时间有多种输入方式:带引号的文本字符串、十进制数或其他公式或函数的结果.</t>
  </si>
  <si>
    <t>=SECOND(B213)</t>
  </si>
  <si>
    <t>返回某一单元格区域中数字、逻辑值及数字的文本表达式、直接键入的数字之和</t>
  </si>
  <si>
    <t>加法</t>
  </si>
  <si>
    <t>SUM(number1,number2, ...) SUM(列名)  SUM(行名)</t>
  </si>
  <si>
    <t>SUM(单个或多个单元格)   SUM(列的名称 如:AA)   SUM(行的名称 如:1:1)</t>
  </si>
  <si>
    <t>number</t>
  </si>
  <si>
    <t>要求和的值,或者值所在的单元格引用.参数用逗号分开.2003版最多指定30个number</t>
  </si>
  <si>
    <t>如果参数为数组或引用,只有其中的数字将被计算.数组或引用中的空白单元格、逻辑值、文本将被忽略.</t>
  </si>
  <si>
    <t>1.如果参数为错误值或为不能转换成数字的文本,将会导致错误.
2.正在求和公式单元格不能包涵在要被求和的单元格内.
3.如果是文本型数字参数,SUM函数是可以直接求和的；如果是引用单元格中的文本型数字(单元格的数字前添加半角单引号“'”),则求和时将忽略.</t>
  </si>
  <si>
    <t>经典用法:以下公式写法都为一个number(条件)</t>
  </si>
  <si>
    <t>以下公式写法都为多个number</t>
  </si>
  <si>
    <t>=SUM(6)</t>
  </si>
  <si>
    <t>直接键入的数字求和</t>
  </si>
  <si>
    <t>=SUM(6,8)</t>
  </si>
  <si>
    <t>直接键入的多个数字求和</t>
  </si>
  <si>
    <t>=SUM(B14)</t>
  </si>
  <si>
    <t>某一单元格求和</t>
  </si>
  <si>
    <t>=SUM(B14,H14,B15)</t>
  </si>
  <si>
    <t>多个单元格求和</t>
  </si>
  <si>
    <t>=SUM(B14:B15)</t>
  </si>
  <si>
    <t>某一单元格区域求和</t>
  </si>
  <si>
    <t>=SUM(B14:B16,H14:H15)</t>
  </si>
  <si>
    <t>多个单元格区域求和</t>
  </si>
  <si>
    <t>=SUM(Y:Y)</t>
  </si>
  <si>
    <t>某一列区域求和</t>
  </si>
  <si>
    <t>=SUM(C:C,G:G)</t>
  </si>
  <si>
    <t>多列区域求和</t>
  </si>
  <si>
    <t>=SUM(11:11)</t>
  </si>
  <si>
    <t>某一行区域求和</t>
  </si>
  <si>
    <t>=SUM(88:88,89:89)</t>
  </si>
  <si>
    <t>多行区域求和</t>
  </si>
  <si>
    <t>=SUM(表一:表五!B3:B10)</t>
  </si>
  <si>
    <t>多工作表同区域求和  本方法仅适用于每个工作表地址一致的情况 [公式说明]：对多表相同区域求和,不需要录入每个工作表的求和地址,只需将第一个工作表名和最后一个表名用冒号连接,后跟"!"与单元格地址,以此作为SUM函数的参数即可.其中"!"表示前面的字符为工作表名称.</t>
  </si>
  <si>
    <t>=SUM('*'!B3)</t>
  </si>
  <si>
    <t>快速设置当前表以外的所有工作表相同区域的总和公式  [公式说明]1、公式中两个单引号中间加"*"表示除当前表以外的所有工作表.2、在输入公式后,程序会自动将"'*'"转换成实际的工作表名.</t>
  </si>
  <si>
    <t>学号</t>
  </si>
  <si>
    <t>性别</t>
  </si>
  <si>
    <t>级别</t>
  </si>
  <si>
    <t>语文</t>
  </si>
  <si>
    <t>要求</t>
  </si>
  <si>
    <t>张A</t>
  </si>
  <si>
    <t>男</t>
  </si>
  <si>
    <t>一组</t>
  </si>
  <si>
    <t>求和</t>
  </si>
  <si>
    <t>班级总分</t>
  </si>
  <si>
    <t>=SUM(E24:E33)</t>
  </si>
  <si>
    <t>张B</t>
  </si>
  <si>
    <t>女</t>
  </si>
  <si>
    <t>条件求和</t>
  </si>
  <si>
    <t>男生人数</t>
  </si>
  <si>
    <t>{=SUM((D24:D33="男")*1)}</t>
  </si>
  <si>
    <t>张C</t>
  </si>
  <si>
    <t>女生人数</t>
  </si>
  <si>
    <t>{=SUM((D24:D33="女")*1)}</t>
  </si>
  <si>
    <t>张D</t>
  </si>
  <si>
    <t>条件计数</t>
  </si>
  <si>
    <t>一组男生人数</t>
  </si>
  <si>
    <t>{=SUM((E24:E33="一组")*(D24:D33="男"))}</t>
  </si>
  <si>
    <t>张E</t>
  </si>
  <si>
    <t>二组</t>
  </si>
  <si>
    <t>多条件求和</t>
  </si>
  <si>
    <t>一组男生总分</t>
  </si>
  <si>
    <t>{=SUM((E24:E33="一组")*(D24:D33="男")*F24:F33)}</t>
  </si>
  <si>
    <t>张F</t>
  </si>
  <si>
    <t>同上简化写法</t>
  </si>
  <si>
    <t>{=SUM((E24:E33&amp;D24:D33="一组男")*F24:F33)}</t>
  </si>
  <si>
    <t>张G</t>
  </si>
  <si>
    <t>80~90之间的总分</t>
  </si>
  <si>
    <t>{=SUM((F24:F33&gt;80)*(F24:F33&lt;90)*F24:F33)}</t>
  </si>
  <si>
    <t>张H</t>
  </si>
  <si>
    <t>求前三名和</t>
  </si>
  <si>
    <t>张I</t>
  </si>
  <si>
    <t>重叠区域求和</t>
  </si>
  <si>
    <t>=SUM(E24:F33 F26:G27)</t>
  </si>
  <si>
    <t>张J</t>
  </si>
  <si>
    <t>上面公式带一对"{}"的为数组公式.选中单元格,输入公式后,按键盘上的【Ctrl】+【Shift】+【Enter】完成公式编写.</t>
  </si>
  <si>
    <t>数组常量的使用数组公式中还可使用数组常量,但必须自己键入花括号"{}"将数组常量括起来,并且用","和",";分离元素.其中","分离不同列的值,";"分</t>
  </si>
  <si>
    <t>离不同行的值.","为逗号;","为分号.</t>
  </si>
  <si>
    <t>每男每女家居生活馆 销售报表</t>
  </si>
  <si>
    <t>品名</t>
  </si>
  <si>
    <t>文胸G66</t>
  </si>
  <si>
    <t>内裤F125</t>
  </si>
  <si>
    <t>文胸G136</t>
  </si>
  <si>
    <t>家居服A349</t>
  </si>
  <si>
    <t>文胸G137</t>
  </si>
  <si>
    <t>家居裙A87</t>
  </si>
  <si>
    <t>单价</t>
  </si>
  <si>
    <t>{=SUM($C$42:$H$42*C43:H43)}</t>
  </si>
  <si>
    <t>说明:分别件乘对应的单价再合计</t>
  </si>
  <si>
    <t>例4</t>
  </si>
  <si>
    <t>突破2003版SUM求和最多指定30个number极限的方法，是在SUM前面加二个括号</t>
  </si>
  <si>
    <t>36个参数相加</t>
  </si>
  <si>
    <t>=SUM(((C45,C46,C47,C48,C49,C50,D45,D46,D47,D48,D49,D50,E45,E46,E47,E48,E49,E50,F45,F46,F47,F48,F49,F50,G45,G46,G47,G48,G49,G50,H45,H46,H47,H48,H49,H50)))</t>
  </si>
  <si>
    <t>=SUM(C45:H50)</t>
  </si>
  <si>
    <t>例5</t>
  </si>
  <si>
    <t>不同工作表同一单元格(坐标)相加</t>
  </si>
  <si>
    <t>回车</t>
  </si>
  <si>
    <t>根据指定条件对若干单元格求和;用来对搜索指定条件的单元格(即参数)的所有数字(即"值")求和.即只求和被满足条件的单元格.</t>
  </si>
  <si>
    <t>只加符合条件的数</t>
  </si>
  <si>
    <t xml:space="preserve">SUMIF(range,criteria,sum_range) </t>
  </si>
  <si>
    <t xml:space="preserve">SUMIF(要找的内容所在的区域,要找的内容,与要找的内容所在的区域对应的数值区域) </t>
  </si>
  <si>
    <t>range</t>
  </si>
  <si>
    <t>为用于条件判断的单元格区域.指定作为搜索对象的单元格区域.</t>
  </si>
  <si>
    <t>criteria</t>
  </si>
  <si>
    <t>为确定哪些单元格将被相加求和的条件,其形式可以为数字、表达式、文本或通配符.</t>
  </si>
  <si>
    <t>sum_range</t>
  </si>
  <si>
    <t>是需要求和的实际单元格</t>
  </si>
  <si>
    <t>1.指定的条件必须用 " " (双引号括起来),如 "&gt;=100、"男" 等.但,当指定条件为引用单元格时无需双引号括住.
2.使用SUMIF比VLOOKUP查找更方便,可以避免无匹配时返回的错误的问题.</t>
  </si>
  <si>
    <t>本页重点:介绍需合计的区域包含所有错误类型时的处理公式</t>
  </si>
  <si>
    <t>件</t>
  </si>
  <si>
    <t>营业额</t>
  </si>
  <si>
    <t>文胸C598</t>
  </si>
  <si>
    <t>内裤F186</t>
  </si>
  <si>
    <t>家居服B396</t>
  </si>
  <si>
    <t>营业额合计</t>
  </si>
  <si>
    <t>所有种类文胸销售/件</t>
  </si>
  <si>
    <t>=SUMIF($B$17:$B$27,"文胸*",$C$17:$C$27)</t>
  </si>
  <si>
    <t>文胸(后缀名三个字)销售/件</t>
  </si>
  <si>
    <t>=SUMIF($B$17:$B$27,"文胸???",$C$17:$C$27)</t>
  </si>
  <si>
    <t>说明:一个?代表一个字</t>
  </si>
  <si>
    <t>销售大于等于5件的销售合计/件</t>
  </si>
  <si>
    <t>=SUMIF($C$17:$C$27,"&gt;=5",$C$17:$C$27)</t>
  </si>
  <si>
    <t>查询品名</t>
  </si>
  <si>
    <t>=SUMIF($B$17:$B$27,C33,$C$17:$C$27)</t>
  </si>
  <si>
    <t>说明:C33单元格输入要查找的内容即可</t>
  </si>
  <si>
    <t>通配符</t>
  </si>
  <si>
    <t>含义</t>
  </si>
  <si>
    <t>示例</t>
  </si>
  <si>
    <t>示例说明</t>
  </si>
  <si>
    <t>*(星号)</t>
  </si>
  <si>
    <t>与任意文字一致</t>
  </si>
  <si>
    <t>文胸*或*A87</t>
  </si>
  <si>
    <t>以"文胸"开头的任意文本;以"A87"结尾的任意文本</t>
  </si>
  <si>
    <t>?(问号)</t>
  </si>
  <si>
    <t>与任意一个文字一致</t>
  </si>
  <si>
    <t>文胸????</t>
  </si>
  <si>
    <t>"文胸"后一定是四个字符的文本.例"文胸G136"、"文胸C598"等.</t>
  </si>
  <si>
    <t>~(否定号)</t>
  </si>
  <si>
    <t>指定不将*和?视为通配符看待</t>
  </si>
  <si>
    <t>文胸~*</t>
  </si>
  <si>
    <t>与"文胸*"文本一致(并不是指定"文胸"开头的任意文本).即:此时的"*"就是字符,不是通配符.</t>
  </si>
  <si>
    <t>文胸~?</t>
  </si>
  <si>
    <t>与"文胸?"文本一致(并不是指定"文胸"开头的任意一个字符的文本).即:此时的"?"就是字符,不是通配符.</t>
  </si>
  <si>
    <t>多区域求和(数组)</t>
  </si>
  <si>
    <t>每男每女家居生活馆 员工销售报表</t>
  </si>
  <si>
    <t>工号</t>
  </si>
  <si>
    <t>商品</t>
  </si>
  <si>
    <t>销售量</t>
  </si>
  <si>
    <t>A001</t>
  </si>
  <si>
    <t>文胸</t>
  </si>
  <si>
    <t>内裤</t>
  </si>
  <si>
    <t>A002</t>
  </si>
  <si>
    <t>B001</t>
  </si>
  <si>
    <t>家居服</t>
  </si>
  <si>
    <t>家居裙</t>
  </si>
  <si>
    <t>B002</t>
  </si>
  <si>
    <t>B003</t>
  </si>
  <si>
    <t>A003</t>
  </si>
  <si>
    <t>多条件、多列计算</t>
  </si>
  <si>
    <t>条件</t>
  </si>
  <si>
    <t>公式结果</t>
  </si>
  <si>
    <t>使用常量数组公式</t>
  </si>
  <si>
    <t>A001、B001的销售量</t>
  </si>
  <si>
    <t>=SUM(SUMIF($B$49:$H$57,{"A001","B001"},$D$49:$J$57))</t>
  </si>
  <si>
    <t>使用单元格引用公式(数组)</t>
  </si>
  <si>
    <t>{=SUM(SUMIF($B$49:$H$57,B49:B50,$D$49:$J$57))}</t>
  </si>
  <si>
    <t>公式标准写法</t>
  </si>
  <si>
    <t>A001的销售量</t>
  </si>
  <si>
    <t>=SUMIF($B$49:$H$57,"A001",$D$49:$J$57)</t>
  </si>
  <si>
    <t>公式简写</t>
  </si>
  <si>
    <t>=SUMIF($B$49:$H$57,"A001",$D$49)</t>
  </si>
  <si>
    <t>汇总商品名称第2个字为"居"的销售量</t>
  </si>
  <si>
    <t>带"居"字的商品销售量</t>
  </si>
  <si>
    <t>=SUMIF($C$49:$I$57,"?居*",$D$49:$J$57)</t>
  </si>
  <si>
    <t>对多条件进行数组求和</t>
  </si>
  <si>
    <t>{=SUM(SUMIF(B74:B84,G74:G78,C74:C84))}</t>
  </si>
  <si>
    <t>实现避开错误值进行求和</t>
  </si>
  <si>
    <t>下表为EXCEL所有错误类型及一个正确数值</t>
  </si>
  <si>
    <t>正确数值</t>
  </si>
  <si>
    <t>公式或函数被0或空白单元格除</t>
  </si>
  <si>
    <t>被计算或处理对象不存在.</t>
  </si>
  <si>
    <t>函数中使用了为可用的文本.例:函数名错误</t>
  </si>
  <si>
    <t>半角空格的引用运算符所指定的单元格区域不存在重叠区域</t>
  </si>
  <si>
    <t>指定数值不当或无法得出正确结果</t>
  </si>
  <si>
    <t>函数参数有误</t>
  </si>
  <si>
    <t>当单元格引用无效时将产生错误值</t>
  </si>
  <si>
    <t>用常规SUM计算时,无法得出结果</t>
  </si>
  <si>
    <t>=SUM(B90:B97)</t>
  </si>
  <si>
    <t>用SUMIF计算时,可完成计算.</t>
  </si>
  <si>
    <t>=SUMIF(B90:B97,"&lt;9e307")</t>
  </si>
  <si>
    <t>9e307解释:是excel能承受的最大值</t>
  </si>
  <si>
    <t>同列计算</t>
  </si>
  <si>
    <t>省略写法</t>
  </si>
  <si>
    <t>=SUMIF(B110:B118,B110)</t>
  </si>
  <si>
    <t>计算满足条件的单元格计数</t>
  </si>
  <si>
    <t>用来对搜索指定条件的单元格(即参数)的计数.即只求和被满足条件的单元格计数.</t>
  </si>
  <si>
    <t>查找要找的单元格的个数</t>
  </si>
  <si>
    <t>COUNTIF(range,criteria)</t>
  </si>
  <si>
    <t>COUNTIF(要找的内容所在的区域,要找的内容)</t>
  </si>
  <si>
    <t>为需要计算其中满足条件的单元格数目的单元格区域,即(范围).</t>
  </si>
  <si>
    <t xml:space="preserve">为确定哪些单元格将被计算在内的条件,其形式可以为数字、表达式或文本,即(条件). </t>
  </si>
  <si>
    <t>指定的条件必须用 " " (双引号括起来),如 "&gt;=100、"男" 等.但,当指定条件为引用单元格时无需双引号括住.通配符使用参看SUMIF函数中的通配符说明.</t>
  </si>
  <si>
    <t>经典用法</t>
  </si>
  <si>
    <t>查找单价在200元以上的商品</t>
  </si>
  <si>
    <t>=COUNTIF(D17:D27,"&gt;200")</t>
  </si>
  <si>
    <t>条件为输入型</t>
  </si>
  <si>
    <t>查找单价在139元的商品有几种</t>
  </si>
  <si>
    <t>=COUNTIF(D17:D27,C32)</t>
  </si>
  <si>
    <t>条件为指定单元格型</t>
  </si>
  <si>
    <t>查找销售在5件以上(含5件)的商品有几种</t>
  </si>
  <si>
    <t>=COUNTIF($C$17:$C$27,"&gt;="&amp;C20)</t>
  </si>
  <si>
    <t>条件为输入加上指定单元格复合型</t>
  </si>
  <si>
    <t>COUNTIF函数的16种公式设置</t>
  </si>
  <si>
    <t>1、求包含值139的单元格数量</t>
  </si>
  <si>
    <t>=COUNTIF($D$45:$D$55,139)</t>
  </si>
  <si>
    <t>2、求包含负值的单元格数量</t>
  </si>
  <si>
    <t>=COUNTIF($C$45:$C$55,"&lt;0")</t>
  </si>
  <si>
    <t>3、求不等于0的单元格数量</t>
  </si>
  <si>
    <t>=COUNTIF($C$45:$C$55,"&lt;&gt;0")</t>
  </si>
  <si>
    <t>4、求大于等于5的单元格数量</t>
  </si>
  <si>
    <t>=COUNTIF($C$45:$C$55,"&gt;=5")</t>
  </si>
  <si>
    <t>D杯文胸D3</t>
  </si>
  <si>
    <t>5、求等于单元格B45中内容的单元格数量</t>
  </si>
  <si>
    <t>=COUNTIF($B$45:$B$55,B45)</t>
  </si>
  <si>
    <t>6、求大于单元格E45中内容的单元格数量</t>
  </si>
  <si>
    <t>说明:退货</t>
  </si>
  <si>
    <t>=COUNTIF($E$45:$E$55,"&gt;"&amp;E45)</t>
  </si>
  <si>
    <t>7、求包含文本内容的单元格数量</t>
  </si>
  <si>
    <t>=COUNTIF($B$45:$B$55,"*")</t>
  </si>
  <si>
    <t>8、求包含六个字符内容的单元格数量</t>
  </si>
  <si>
    <t>各种类型单元格</t>
  </si>
  <si>
    <t>=COUNTIF($B$45:$B$55,"??????")</t>
  </si>
  <si>
    <t>真空单元格为数据型</t>
  </si>
  <si>
    <t>9、求在文本中任何位置包含单词"文胸"字符内容的单元格数量</t>
  </si>
  <si>
    <t>假空单元格为字符型</t>
  </si>
  <si>
    <t>=COUNTIF($B$45:$B$55,"*文胸*")</t>
  </si>
  <si>
    <t xml:space="preserve">  </t>
  </si>
  <si>
    <t>含半角空格单元格为字符型</t>
  </si>
  <si>
    <t>10、求包含以英文"D"(不分大小写)开头内容的单元格数量</t>
  </si>
  <si>
    <t>　　</t>
  </si>
  <si>
    <t>含全角空格单元格为字符型</t>
  </si>
  <si>
    <t>=COUNTIF($B$45:$B$55,"D*")</t>
  </si>
  <si>
    <t>含内容单元格</t>
  </si>
  <si>
    <t>11、求包含当前日期的单元格数量</t>
  </si>
  <si>
    <t>=COUNTIF($E$45:$E$56,TODAY())</t>
  </si>
  <si>
    <t>12、求大于平均值的单元格数量</t>
  </si>
  <si>
    <t>=COUNTIF($D$45:$D$55,"&gt;"&amp;AVERAGE($D$46:$D$55))</t>
  </si>
  <si>
    <t>13、求真空单元格的个数:</t>
  </si>
  <si>
    <t>=COUNTIF($B$59:$B$63,"=")</t>
  </si>
  <si>
    <t>14、求非真空单元格的个数:</t>
  </si>
  <si>
    <t>=COUNTIF($B$59:$B$63,"&lt;&gt;")</t>
  </si>
  <si>
    <t>15、求为真空＋假空单元格的个数</t>
  </si>
  <si>
    <t>=COUNTIF($B$59:$B$63,"")</t>
  </si>
  <si>
    <t>16、求一区间内值的个数</t>
  </si>
  <si>
    <t>注:-1不算在内,6包括在内.</t>
  </si>
  <si>
    <t>=SUM(COUNTIF($C$45:$C$55,"&gt;"&amp;{-1,6})*{1,-1})</t>
  </si>
  <si>
    <t>三种查找</t>
  </si>
  <si>
    <t>查找出现多次的品名</t>
  </si>
  <si>
    <t>输入要求</t>
  </si>
  <si>
    <t>=IF(COUNTIF($B$82:$B$92,G82)&gt;1,"发现重复","")</t>
  </si>
  <si>
    <t>查找只出现1次的品名</t>
  </si>
  <si>
    <t>D杯文胸</t>
  </si>
  <si>
    <t>=IF(COUNTIF($B$82:$B$92,G86)=1,G86,"")</t>
  </si>
  <si>
    <t>查找只出现0次的品名</t>
  </si>
  <si>
    <t>E杯文胸</t>
  </si>
  <si>
    <t>=IF(COUNTIF($B$82:$B$92,G90)&lt;1,G90,"")</t>
  </si>
  <si>
    <t>每男每女家居生活馆 考试成绩表</t>
  </si>
  <si>
    <t>男/女</t>
  </si>
  <si>
    <t>店名</t>
  </si>
  <si>
    <t>服务理论考</t>
  </si>
  <si>
    <t>教材原意</t>
  </si>
  <si>
    <t>实际情况</t>
  </si>
  <si>
    <t>袁丽琴</t>
  </si>
  <si>
    <t>一店</t>
  </si>
  <si>
    <t>张桂兰</t>
  </si>
  <si>
    <t>二店</t>
  </si>
  <si>
    <t>要淑君</t>
  </si>
  <si>
    <t>肖慧琴</t>
  </si>
  <si>
    <t>王京京</t>
  </si>
  <si>
    <t>刘晶晶</t>
  </si>
  <si>
    <t>王建军</t>
  </si>
  <si>
    <t>孙建桃</t>
  </si>
  <si>
    <t>张娟娟</t>
  </si>
  <si>
    <t>杨丽莉</t>
  </si>
  <si>
    <t>这个公式是教材上的原公式,本人认为他忽略了非缺考0分的因素,如:一题都没对；偷看作0分处理等等问题.</t>
  </si>
  <si>
    <t>=SUMIF($E$128:$E$137,"&gt;0")/COUNTIF($E$128:$E$137,"&gt;0")</t>
  </si>
  <si>
    <t>考试不会出现负分.所以,公式应该改为如下:</t>
  </si>
  <si>
    <t>偷看作0分处理(数字);未考不计</t>
  </si>
  <si>
    <t>=SUMIF($F$103:$F$112,"&gt;-1")/COUNTIF($F$103:$F$112,"&gt;-1")</t>
  </si>
  <si>
    <t>统计区域内不重复数据数</t>
  </si>
  <si>
    <t>每男每女家居生活馆</t>
  </si>
  <si>
    <t>{=SUM(1/COUNTIF(D128:D137,D128:D137))}</t>
  </si>
  <si>
    <t>思路解析：</t>
  </si>
  <si>
    <t>假设记录A出现N次,则每次都转为N/1,N个1/N求和得到1.</t>
  </si>
  <si>
    <t>但上述公式不得出现空单元格,否则返回#DIV/0!错误.因为0不能是被除数.</t>
  </si>
  <si>
    <t>下面公式加了IF判断是否是空格的嵌套,避免出现#DIV/0!错误.</t>
  </si>
  <si>
    <t>{=SUM(IF(D128:D137&lt;&gt;"",1/COUNTIF(D128:D137,D128:D137)))}</t>
  </si>
  <si>
    <t>计算出作为参数指定的所有Number的乘积.</t>
  </si>
  <si>
    <t>一般当乘法用</t>
  </si>
  <si>
    <t>PRODUCT(number1,number2.....number30)</t>
  </si>
  <si>
    <t>PRODUCT(为1到30个需要相乘的数字参数)</t>
  </si>
  <si>
    <t>指定想要乘积的值,或单元格引用.也可指定单元格区域.参数数量和SUM一样(30个).即想要计算的单元格.</t>
  </si>
  <si>
    <t>忽略参数中的文本和空值,然后求所有参数的乘积.</t>
  </si>
  <si>
    <t>1.当参数为数字、逻辑值或数字的文字型表达式时可以被计算；当参数为错误值或是不能转换成数字的文字时,将导致错误.
2.如果参数为数组或引用,只有其中的数字将被计算.数组或引用中的空白单元格、逻辑值、文本或错误值将被忽略.</t>
  </si>
  <si>
    <t xml:space="preserve">数据 </t>
  </si>
  <si>
    <t>函数公式</t>
  </si>
  <si>
    <t>=PRODUCT(B15:B18)</t>
  </si>
  <si>
    <t>将B15:B17单元格中的数字相乘,结果为 2250</t>
  </si>
  <si>
    <t>相同的数字相乘时,等同上面的公式</t>
  </si>
  <si>
    <t>=B15*B16*B17</t>
  </si>
  <si>
    <t>Excel</t>
  </si>
  <si>
    <t>相同的单元格相乘时,因存在一个文本,用"*"无法计算,但用PRODUCT时可忽略.</t>
  </si>
  <si>
    <t>=B15*B16*B17*B18</t>
  </si>
  <si>
    <t>折扣</t>
  </si>
  <si>
    <t>促销折扣9.5</t>
  </si>
  <si>
    <t>=PRODUCT(C27,D27,$C$40:$C$41)</t>
  </si>
  <si>
    <t>说明:这是促销价上再打会员价的计算方式</t>
  </si>
  <si>
    <t>会员折扣9.0</t>
  </si>
  <si>
    <t>=C27*D27*C40*C41</t>
  </si>
  <si>
    <t>在给定的几组数组中,将数组间对应的元素相乘,并返回乘积之和.</t>
  </si>
  <si>
    <t>SUMPRODUCT(array1,array2,……array30)</t>
  </si>
  <si>
    <t>SUMPRODUCT(数据1,数据2,……，数据30)  其相应元素需要进行相乘并求和
代替SUMIF函数多条件计算:SUMPRODUCT((包含条件1的区域=条件1)*(包含条件2的区域=条件2),要计算的区域)</t>
  </si>
  <si>
    <t>array</t>
  </si>
  <si>
    <t>指定包含构成计算对象的值的数组或单元格区域.</t>
  </si>
  <si>
    <t>各个数组行*列的大小必须一样.</t>
  </si>
  <si>
    <t>本页重点:介绍双减号在公式中的由来</t>
  </si>
  <si>
    <t>示例数据</t>
  </si>
  <si>
    <t>=SUMPRODUCT(B15:B17,C15:C17)</t>
  </si>
  <si>
    <t>=1*4+2*5+3*6</t>
  </si>
  <si>
    <t>说明:具体的计算原理为左边公式.</t>
  </si>
  <si>
    <t>SUMPRODUCT函数作为COUNTIF函数使用</t>
  </si>
  <si>
    <t>TRUE/FALSE转换为1/0</t>
  </si>
  <si>
    <t>解释公式:</t>
  </si>
  <si>
    <t>每男每女</t>
  </si>
  <si>
    <t>=SUMPRODUCT((B23:B32="每男每女")*1)</t>
  </si>
  <si>
    <t>在单元格F23中输入IF公式,向下复制到F32,然后简单地合计F23:F32,这将统计在F23:F32中有多少项等于"每男每女".当然,能够使用一个简单的公式COUNTIF(F23:F32,"每男每女").
如果在单元格F34中输入=B23="每男每女",会得到TRUE或FALSE,这取决于单元格B23中的值是否为"每男每女".
现在,使用SUMPRODUCT函数,如下</t>
  </si>
  <si>
    <t>=SUMPRODUCT(B23:B32="每男每女")</t>
  </si>
  <si>
    <t>得到0，即使在单元格区域F23:F32里有一些值为"每男每女".Excel将TRUE(真的意思)当作1,FALSE(假的意思)当作0.如果我们在这些值中执行某种算术运算,那么可以强迫使一组TRUE/FALSE转换为1/0.一种方式是将结果数组乘1,如下：</t>
  </si>
  <si>
    <t>另一种方式是加0：</t>
  </si>
  <si>
    <t>验证真、假</t>
  </si>
  <si>
    <t>=SUMPRODUCT((B23:B32="每男每女")+0)</t>
  </si>
  <si>
    <t>另一种方式是前面添加两个减号：</t>
  </si>
  <si>
    <t>=SUMPRODUCT(--(B23:B32="每男每女"))</t>
  </si>
  <si>
    <t>关于"--"解释的两种网络版本:</t>
  </si>
  <si>
    <t>第一种解释:第一个减号否定每次的结果,得到值为-1和0的数组;第二个减号再次否定,得到值为1和0的数组.即第一个减号强迫使TRUE和FALSE为数字,第二个切换-1为1.</t>
  </si>
  <si>
    <t>第二种解释:第一次负号,把文本性数字转换成负数值,再加一次负号,把负数值转换为需要的正数.</t>
  </si>
  <si>
    <t>多条件运算、查找</t>
  </si>
  <si>
    <t>颜色</t>
  </si>
  <si>
    <t>查找条件</t>
  </si>
  <si>
    <t>红</t>
  </si>
  <si>
    <t>粉红</t>
  </si>
  <si>
    <t>灰</t>
  </si>
  <si>
    <t>白</t>
  </si>
  <si>
    <t>指定品名公式</t>
  </si>
  <si>
    <t>=SUMPRODUCT(($B$47:$B$57="文胸G66")*($C$47:$C$57="红"),E47:E57)</t>
  </si>
  <si>
    <t>紫红</t>
  </si>
  <si>
    <t>指定单元格公式</t>
  </si>
  <si>
    <t>=SUMPRODUCT(($B$47:$B$57=H47)*($C$47:$C$57=H48),E47:E57)</t>
  </si>
  <si>
    <t>等同于此格式</t>
  </si>
  <si>
    <t>(计算区域与上面不同,这里只说明公式原理)</t>
  </si>
  <si>
    <t>=SUM(PRODUCT(C47,D47),PRODUCT(C48,D48),PRODUCT(C49,D49))……</t>
  </si>
  <si>
    <t>每男每女家居生活馆 员工表</t>
  </si>
  <si>
    <t>新老员工</t>
  </si>
  <si>
    <t>新/老员工</t>
  </si>
  <si>
    <t>老</t>
  </si>
  <si>
    <t>新</t>
  </si>
  <si>
    <t>=SUMPRODUCT(($D$64:$D$73=G64)*($E$64:$E$73=I63))</t>
  </si>
  <si>
    <t>公式解释:</t>
  </si>
  <si>
    <t>一、条件1——$D$64:$D$73=G64在计算过程中,条件1是一个数组,返回多值,写成公式如下：=$D$64:$D$73=G64.具体操作：=D64=G64;=D65=G64;……,返回10个逻辑判断值——见左边灰色区域.这10个逻辑判断值构成一个由TRUE(真)与FALSE(假)组成的数组1.</t>
  </si>
  <si>
    <t>二、条件2——原理同上.</t>
  </si>
  <si>
    <t>三、在具体操作上可看作:{假;真;假;真;真;假;假;假;真;假}*{原理同条件1……}</t>
  </si>
  <si>
    <t>四、真为1(例2上有说明)假为0,所以,上一行公式也等同于{0;1;0;1;1;0;0;0;1;0}*{……}</t>
  </si>
  <si>
    <t>五、再进一步演化为=SUMPRODUCT(($D$64:$D$73=G64)*1,($E$64:$E$73=H63)*1)</t>
  </si>
  <si>
    <t>六、最后的简化公式为=SUMPRODUCT(($D$64:$D$73=G64)*($E$64:$E$73=H63))</t>
  </si>
  <si>
    <t>七、写白话基本格式是：SUMPRODUCT(条件1*条件2*……,求和数据区域)</t>
  </si>
  <si>
    <t>综述:</t>
  </si>
  <si>
    <t>用于多条件求和对于计算符合某一个条件的数据求和,可以用SUMIF函数来解决.如果要计算符合2个以上条件的数据求和,用SUMIF函数就不能够完成了.</t>
  </si>
  <si>
    <t>综上所述,对于多条件的计数或者求和,可以用数学函数SUMPRODUCT来比较方便的解决.在使用函数时，进行数据引用的单元格区域或数组应该大小一致,不能采取整列引用(形如A:A).如果跨表使用函数SUMPRODUCT，与其它函数跨表引用数据一样，数据区域前面应该标明工作表名称.计数公式中最关键的是确定计数的判断条件.求和公式在原来的计数公式中,在相同判断条件下增加了一个求和的数据区域.用函数SUMPRODUCT求和,函数需要的参数一个是进行判断的条件,另一个是用来求和的数据区域.</t>
  </si>
  <si>
    <t>区域奇、偶数行、列的和:</t>
  </si>
  <si>
    <t>奇数列的和公式</t>
  </si>
  <si>
    <t>=SUMPRODUCT((MOD(COLUMN(C90:L90),2)=1)*(C90:L90))</t>
  </si>
  <si>
    <t>注意:要看清楚行或列的开始值的奇偶数</t>
  </si>
  <si>
    <t>=SUMPRODUCT((MOD(COLUMN(B91:K91),2)=1)*(B91:K91))</t>
  </si>
  <si>
    <t>MOD:求出两数相除的余数</t>
  </si>
  <si>
    <t>偶数列的和公式</t>
  </si>
  <si>
    <t>=SUMPRODUCT((MOD(COLUMN(C90:L90),2)=0)*(C90:L90))</t>
  </si>
  <si>
    <t>ROW:计算行序号</t>
  </si>
  <si>
    <t>=SUMPRODUCT((MOD(COLUMN(B91:K91),2)=0)*(B91:K91))</t>
  </si>
  <si>
    <t>COLUMN:计算列序号</t>
  </si>
  <si>
    <t>奇数行的和公式</t>
  </si>
  <si>
    <t>=SUMPRODUCT((MOD(ROW(L93:L99),2)=1)*(L93:L99))</t>
  </si>
  <si>
    <t>偶数行的和公式</t>
  </si>
  <si>
    <t>=SUMPRODUCT((MOD(ROW(L93:L99),2)=0)*(L93:L99))</t>
  </si>
  <si>
    <t>例6</t>
  </si>
  <si>
    <t>多条件、指定数值区域的计算公式</t>
  </si>
  <si>
    <t>年龄下限</t>
  </si>
  <si>
    <t>年龄上限</t>
  </si>
  <si>
    <t>年龄</t>
  </si>
  <si>
    <t>求女性23~28岁之间的人数</t>
  </si>
  <si>
    <t>=SUMPRODUCT((C104:C115="女")*(F104:F115&gt;=23)*(F104:F115&lt;=28))</t>
  </si>
  <si>
    <t>求女性23~28岁之间的总年龄(条件公式输入)</t>
  </si>
  <si>
    <t>=SUMPRODUCT((C104:C115="女")*(F104:F115&gt;=23)*(F104:F115&lt;=28),F104:F115)</t>
  </si>
  <si>
    <t>求女性23~28岁之间的总年龄(单元格指定条件)</t>
  </si>
  <si>
    <t>=SUMPRODUCT((C104:C115=H103)*(F104:F115&gt;=I103)*(F104:F115&lt;=J103),F104:F115)</t>
  </si>
  <si>
    <t>作为参数指定的多个"值"先计算各自的平方,之后再将结果全部合计求和(平方和)</t>
  </si>
  <si>
    <t>SUMSQ(Number1,number2,……)</t>
  </si>
  <si>
    <t xml:space="preserve">SUMSQ(要计算的单元格1,要计算的单元格2,……)  </t>
  </si>
  <si>
    <t>Number1</t>
  </si>
  <si>
    <t>是必需的为1到30个需要求平方和的参数，它可以是数值、区域、引用或数组.</t>
  </si>
  <si>
    <t>Number2……</t>
  </si>
  <si>
    <t>后续数值是可选的.也可以用单一数组或对某个数组的引用来代替用逗号分隔的参数.</t>
  </si>
  <si>
    <t>空白单元格被视为0进行计算</t>
  </si>
  <si>
    <t>1.参数可以是数字或者是包含数字的名称、数组或引用.
2.逻辑值和直接键入到参数列表中代表数字的文本被计算在内.
3.如果参数是一个数组或引用,则只计算其中的数字.数组或引用中的空白单元格、逻辑值、文本或错误值将被忽略.
4.如果参数为错误值或为不能转换为数字的文本,将会导致错误.</t>
  </si>
  <si>
    <t>=SUMSQ(B15,C15)</t>
  </si>
  <si>
    <t>分别输入区域数值求平方和</t>
  </si>
  <si>
    <t>=SUM(B15*B15,C15*C15)</t>
  </si>
  <si>
    <t>拆分后的公式</t>
  </si>
  <si>
    <t>=SUM(12*12,9*9)</t>
  </si>
  <si>
    <t>输入数值后的公式</t>
  </si>
  <si>
    <t>=SUMSQ(B15:C16)</t>
  </si>
  <si>
    <t>区域数值求平方和</t>
  </si>
  <si>
    <t>=SUMSQ(B15)</t>
  </si>
  <si>
    <t>单一数据求平方和</t>
  </si>
  <si>
    <t>SUMX2PY2(array1,array2)</t>
  </si>
  <si>
    <t>SUMX2PY2(第一个数组或数值区域,第二个数组或数值区域)</t>
  </si>
  <si>
    <t>array1</t>
  </si>
  <si>
    <t>为第一个数组或数值区域.</t>
  </si>
  <si>
    <t>array2</t>
  </si>
  <si>
    <t>为第二个数组或数值区域.</t>
  </si>
  <si>
    <t>求平方和的和</t>
  </si>
  <si>
    <t>证明</t>
  </si>
  <si>
    <t>=SUMSQ(B17,C17)</t>
  </si>
  <si>
    <t>=SUMSQ(B18,C18)</t>
  </si>
  <si>
    <t>=SUMSQ(B19,C19)</t>
  </si>
  <si>
    <t>=SUMSQ(B20,C20)</t>
  </si>
  <si>
    <t>=SUMSQ(B21,C21)</t>
  </si>
  <si>
    <t>平方和的和</t>
  </si>
  <si>
    <t>=SUM(E17:E21)</t>
  </si>
  <si>
    <t>=SUMX2PY2(B17:B21,C17:C21)</t>
  </si>
  <si>
    <t>返回两数组中对应数值的平方差之和.</t>
  </si>
  <si>
    <t>如果array1和 array2的元素数目不同,返回错误值#N/A.</t>
  </si>
  <si>
    <t>=SUMX2MY2(B117:B121,C117:C121)</t>
  </si>
  <si>
    <t>返回两数组中对应数值之差的平方和.</t>
  </si>
  <si>
    <t>返回两数组中对应数值之差的平方和。</t>
  </si>
  <si>
    <t>=SUMXMY2(B217:B221,C217:C221)</t>
  </si>
  <si>
    <t>能指定方式计算的函数</t>
  </si>
  <si>
    <t xml:space="preserve">SUBTOTAL(function_num,ref1,ref2,……ref29) </t>
  </si>
  <si>
    <t>SUBTOTAL(计算方式,要计算的区域)</t>
  </si>
  <si>
    <t>function_num</t>
  </si>
  <si>
    <t>以编号的形式指定总计时采用的功能.</t>
  </si>
  <si>
    <t>ref</t>
  </si>
  <si>
    <t>指定要计算的值,或值所在的单元格引用.也可指定区域.</t>
  </si>
  <si>
    <t xml:space="preserve">如果采取自动筛选，无论function_num参数选用什么类型，SUBTOTAL函数忽略任何不包括在筛选结果中的行；SUBTOTAL函数适用于数据列或垂直区域，不适用于数据行或水平区域。 </t>
  </si>
  <si>
    <t>参数定义</t>
  </si>
  <si>
    <t>总计方式</t>
  </si>
  <si>
    <t>总计功能</t>
  </si>
  <si>
    <t>同等函数</t>
  </si>
  <si>
    <t>隐藏的单
元格也包
含在总计
对象中时</t>
  </si>
  <si>
    <t>隐藏的单
元格不包
含在总计
对象中时</t>
  </si>
  <si>
    <t>计算平均值</t>
  </si>
  <si>
    <t>计算最大值</t>
  </si>
  <si>
    <t>计算最小值</t>
  </si>
  <si>
    <t>计算无偏标准偏差</t>
  </si>
  <si>
    <t>计算样本标准偏差</t>
  </si>
  <si>
    <t>计算和</t>
  </si>
  <si>
    <t>计算无偏方差</t>
  </si>
  <si>
    <t>计算样本方差</t>
  </si>
  <si>
    <t>经典用法(隐藏的单元格也包含在总计对象中时)</t>
  </si>
  <si>
    <t>每男每女家居生活馆 
参加培训人数</t>
  </si>
  <si>
    <t>区域</t>
  </si>
  <si>
    <t>分公司</t>
  </si>
  <si>
    <t>参加人数</t>
  </si>
  <si>
    <t>各公司人数</t>
  </si>
  <si>
    <t>比例</t>
  </si>
  <si>
    <t>条件:总计</t>
  </si>
  <si>
    <t>华北</t>
  </si>
  <si>
    <t>北京分公司</t>
  </si>
  <si>
    <t>=SUBTOTAL(1,$D$36:$D$47)</t>
  </si>
  <si>
    <t>天津分公司</t>
  </si>
  <si>
    <t>计算数值的个数</t>
  </si>
  <si>
    <t>=SUBTOTAL(2,$D$36:$D$48)</t>
  </si>
  <si>
    <t>沈阳分公司</t>
  </si>
  <si>
    <t>=SUBTOTAL(3,$D$36:$D$49)</t>
  </si>
  <si>
    <t>长春分公司</t>
  </si>
  <si>
    <t>=SUBTOTAL(4,$D$36:$D$50)</t>
  </si>
  <si>
    <t>山西分公司</t>
  </si>
  <si>
    <t>=SUBTOTAL(5,$D$36:$D$51)</t>
  </si>
  <si>
    <t>小计</t>
  </si>
  <si>
    <t>=SUBTOTAL(6,$D$36:$D$52)</t>
  </si>
  <si>
    <t>华南</t>
  </si>
  <si>
    <t>广州分公司</t>
  </si>
  <si>
    <t>=SUBTOTAL(7,$D$36:$D$53)</t>
  </si>
  <si>
    <t>上海分公司</t>
  </si>
  <si>
    <t>=SUBTOTAL(8,$D$36:$D$54)</t>
  </si>
  <si>
    <t>武汉分公司</t>
  </si>
  <si>
    <t>=SUBTOTAL(9,$D$36:$D$55)</t>
  </si>
  <si>
    <t>长沙分公司</t>
  </si>
  <si>
    <t>=SUBTOTAL(10,$D$36:$D$56)</t>
  </si>
  <si>
    <t>浙江分公司</t>
  </si>
  <si>
    <t>=SUBTOTAL(11,$D$36:$D$57)</t>
  </si>
  <si>
    <t>总计</t>
  </si>
  <si>
    <t>公式显示(E47)</t>
  </si>
  <si>
    <t>下面为SUM公式在同一区域合计</t>
  </si>
  <si>
    <t>本例说明:</t>
  </si>
  <si>
    <t>=SUBTOTAL(9,E36:E47)</t>
  </si>
  <si>
    <t>=SUM(E36:E47)</t>
  </si>
  <si>
    <t>可以避免重复计算.也就是在数据区域中有SUBTOTAL获得的结果将被忽略！</t>
  </si>
  <si>
    <t>经典用法(隐藏的单元格不包含在总计对象中时)</t>
  </si>
  <si>
    <t>说明:广州分公司与天津分公司被隐藏,请与例1表格的数据对比.</t>
  </si>
  <si>
    <t>隐藏行为:60,65两行</t>
  </si>
  <si>
    <t>将数字向下舍入到最接近的整数</t>
  </si>
  <si>
    <t>INT(number)</t>
  </si>
  <si>
    <t>INT(要转换的单元格)</t>
  </si>
  <si>
    <t>指定数值或数值所在的单元格引用.需要进行向下舍入取整的实数.参数只能指定一个,且不能指定单元格区域.</t>
  </si>
  <si>
    <t>参数只能指定的一个单元格或数值,不能为单元格区域.</t>
  </si>
  <si>
    <t>求左边表格的小数部分</t>
  </si>
  <si>
    <t>数值</t>
  </si>
  <si>
    <t>=INT(B15)</t>
  </si>
  <si>
    <t>=IF(B15&gt;0,B15-INT(B15),(-B15-INT(-B15)))</t>
  </si>
  <si>
    <t>=INT(B16)</t>
  </si>
  <si>
    <t>=IF(B16&gt;0,B16-INT(B16),(-B16-INT(-B16)))</t>
  </si>
  <si>
    <t>=INT(B17)</t>
  </si>
  <si>
    <t>=IF(B17&gt;0,B17-INT(B17),(-B17-INT(-B17)))</t>
  </si>
  <si>
    <t>=INT(B18)</t>
  </si>
  <si>
    <t>=IF(B18&gt;0,B18-INT(B18),(-B18-INT(-B18)))</t>
  </si>
  <si>
    <t>=INT(B19)</t>
  </si>
  <si>
    <t>=IF(B19&gt;0,B19-INT(B19),(-B19-INT(-B19)))</t>
  </si>
  <si>
    <t>=INT(B20)</t>
  </si>
  <si>
    <t>=IF(B20&gt;0,B20-INT(B20),(-B20-INT(-B20)))</t>
  </si>
  <si>
    <t>=INT(B21)</t>
  </si>
  <si>
    <t>=IF(B21&gt;0,B21-INT(B21),(-B21-INT(-B21)))</t>
  </si>
  <si>
    <t>=INT(B22)</t>
  </si>
  <si>
    <t>=IF(B22&gt;0,B22-INT(B22),(-B22-INT(-B22)))</t>
  </si>
  <si>
    <t>=INT(B23)</t>
  </si>
  <si>
    <t>=IF(B23&gt;0,B23-INT(B23),(-B23-INT(-B23)))</t>
  </si>
  <si>
    <t>将数字的小数部分截去,返回整数.</t>
  </si>
  <si>
    <t>TRUNC(number,num_digits)</t>
  </si>
  <si>
    <t>TRUNC(目标单元格,要保留位数)</t>
  </si>
  <si>
    <t>指定数值或数值所在的单元格引用.需要截尾取整的数字.</t>
  </si>
  <si>
    <t>num_digits</t>
  </si>
  <si>
    <t>向下舍入的位数的位置.用于指定取整精度的数字.Num_digits的默认值为0.</t>
  </si>
  <si>
    <t>函数TRUNC和函数INT类似,都返回整数.函数TRUNC直接去除数字的小数部分而函数INT则是依照给定数的小数部分的值,将其四舍五入到最接近的整数.函数INT和函数TRUNC在处理负数时有所不同.</t>
  </si>
  <si>
    <t>目标单元格参数只能指定一个,且不能指定单元格区域.</t>
  </si>
  <si>
    <t>保留位数</t>
  </si>
  <si>
    <t>=TRUNC(B116,C116)</t>
  </si>
  <si>
    <t>总结</t>
  </si>
  <si>
    <t>=TRUNC(B117,C117)</t>
  </si>
  <si>
    <t>保留位数为</t>
  </si>
  <si>
    <t>文字表达(只论数值,不论正负数)</t>
  </si>
  <si>
    <t>=TRUNC(B118,C118)</t>
  </si>
  <si>
    <t>个位数的1000倍</t>
  </si>
  <si>
    <t>=TRUNC(B119,C119)</t>
  </si>
  <si>
    <t>个位数的100倍</t>
  </si>
  <si>
    <t>=TRUNC(B120,C120)</t>
  </si>
  <si>
    <t>个位数的10倍</t>
  </si>
  <si>
    <t>=TRUNC(B121,C121)</t>
  </si>
  <si>
    <t>为整数</t>
  </si>
  <si>
    <t>=TRUNC(B122,C122)</t>
  </si>
  <si>
    <t>小数点后保留一位</t>
  </si>
  <si>
    <t>=TRUNC(B123,C123)</t>
  </si>
  <si>
    <t>小数点后保留二位</t>
  </si>
  <si>
    <t>=TRUNC(B124) (省略位数位置)</t>
  </si>
  <si>
    <t>小数点后保留三位</t>
  </si>
  <si>
    <t>=TRUNC(B125,C125)</t>
  </si>
  <si>
    <t>表示从小数点的位置到各位数之间的距离，如下表所示，从小数点往左用，用负数表示，从小数点往右，用正数表示。</t>
  </si>
  <si>
    <t>·:表示小数点</t>
  </si>
  <si>
    <t>○  ○  ○  ·  ●  ●  ●</t>
  </si>
  <si>
    <t>-2  -1   0       1   2   3</t>
  </si>
  <si>
    <t>靠近零值,向下(绝对值减小的方向)舍入数字.</t>
  </si>
  <si>
    <t>ROUNDDOWN(number,num_digits)</t>
  </si>
  <si>
    <t>ROUNDDOWN(目标单元格,要保留位数)</t>
  </si>
  <si>
    <t>指定数值或数值所在的单元格引用.</t>
  </si>
  <si>
    <t>向下舍入的位数的位置</t>
  </si>
  <si>
    <t>1.与ROUNDDOWN函数相似的函数TRUNC,两者都进行相同的运算.不过,所不同的是,ROUNDDOWN函数的"位数位置"参数不能省略,必须指定,而TRUNC函数可以省略.
2.如果num_digits大于0,则向下舍入到指定的小数位.
3.如果num_digits等于0,则向下舍入到最接近的整数.
4.如果num_digits小于0,则在小数点左侧向下进行舍入.</t>
  </si>
  <si>
    <t>=ROUNDDOWN(B216,C216)</t>
  </si>
  <si>
    <t>=ROUNDDOWN(B217,C217)</t>
  </si>
  <si>
    <t>=ROUNDDOWN(B218,C218)</t>
  </si>
  <si>
    <t>=ROUNDDOWN(B219,C219)</t>
  </si>
  <si>
    <t>=ROUNDDOWN(B220,C220)</t>
  </si>
  <si>
    <t>=ROUNDDOWN(B221,C221)</t>
  </si>
  <si>
    <t>=ROUNDDOWN(B222,C222)</t>
  </si>
  <si>
    <t>=ROUNDDOWN(B223,C223)</t>
  </si>
  <si>
    <t>=ROUNDDOWN(B224,C224)</t>
  </si>
  <si>
    <t>远离零值,向上舍入数字.</t>
  </si>
  <si>
    <t>ROUNDUP(number,num_digits)</t>
  </si>
  <si>
    <t>ROUNDUP(目标单元格,要保留位数)</t>
  </si>
  <si>
    <t>指定数值或数值所在的单元格引用.为需要向上舍入的任意实数.</t>
  </si>
  <si>
    <t>向上舍入的位数的位置.四舍五入后的数字的位数</t>
  </si>
  <si>
    <t>1.函数ROUNDUP和函数ROUND功能相似,不同之处在于函数ROUNDUP总是向上舍入数字.
2.如果num_digits大于0,则向上舍入到指定的小数位.
3.如果num_digits等于0,则向上舍入到最接近的整数.
4.如果num_digits小于0,则在小数点左侧向上进行舍入.</t>
  </si>
  <si>
    <t>=ROUNDUP(B316,C316)</t>
  </si>
  <si>
    <t>=ROUNDUP(B317,C317)</t>
  </si>
  <si>
    <t>=ROUNDUP(B318,C318)</t>
  </si>
  <si>
    <t>=ROUNDUP(B319,C319)</t>
  </si>
  <si>
    <t>=ROUNDUP(B320,C320)</t>
  </si>
  <si>
    <t>=ROUNDUP(B321,C321)</t>
  </si>
  <si>
    <t>=ROUNDUP(B322,C322)</t>
  </si>
  <si>
    <t>=ROUNDUP(B323,C323)</t>
  </si>
  <si>
    <t>=ROUNDUP(B324,C324)</t>
  </si>
  <si>
    <t>返回某个数字按指定位数取整后的数字</t>
  </si>
  <si>
    <t>计算保留去掉指定的位数后的值</t>
  </si>
  <si>
    <t>ROUND(number,num_digits)</t>
  </si>
  <si>
    <t>ROUND(目标单元格,要保留位数)</t>
  </si>
  <si>
    <t>四舍五入的位数的位置</t>
  </si>
  <si>
    <t>1.如果num_digits大于0,则四舍五入到指定的小数位.
2.如果num_digits等于0,则四舍五入到最接近的整数.
3.如果num_digits小于0,则在小数点左侧进行四舍五入.</t>
  </si>
  <si>
    <t>=ROUND(B416,C416)</t>
  </si>
  <si>
    <t>=ROUND(B417,C417)</t>
  </si>
  <si>
    <t>=ROUND(B418,C418)</t>
  </si>
  <si>
    <t>=ROUND(B419,C419)</t>
  </si>
  <si>
    <t>=ROUND(B420,C420)</t>
  </si>
  <si>
    <t>=ROUND(B421,C421)</t>
  </si>
  <si>
    <t>=ROUND(B422,C422)</t>
  </si>
  <si>
    <t>=ROUND(B423,C423)</t>
  </si>
  <si>
    <t>=ROUND(B424,C424)</t>
  </si>
  <si>
    <t>ROUND数组的用法</t>
  </si>
  <si>
    <t>解释什么是数组</t>
  </si>
  <si>
    <t>假设要将例1中的表格B416:B423区域的所有数值舍入到2位小数位,然后对舍入的数值求和.即保留两位小数再求和.</t>
  </si>
  <si>
    <t>很自然地就会想到使用公式:=ROUND(B416,2)＋ROUND(B417,2)＋…＋ROUND(B423,2)或加一辅助列得到舍入后的数值再相加.</t>
  </si>
  <si>
    <t>因为ROUND函数参数只能指定一个单元格,且不能指定单元格区域.</t>
  </si>
  <si>
    <t>要把单元格扩大为单元格区域.又避免参数太多,只要解决这个问题,那么就能用短小的公式一次完成相加.</t>
  </si>
  <si>
    <t>先输入:=ROUND(B416:B423,2)这个公式</t>
  </si>
  <si>
    <t>得到的是错误提示,从显示步骤中能看到是区域这一块出现错误.</t>
  </si>
  <si>
    <t>我们再输入这个公式,然后按F9强行运算.得到下面的公式</t>
  </si>
  <si>
    <t>={24.6;-24.7;56.25;-56.25;12.6;-12.6;398675;-398675}</t>
  </si>
  <si>
    <t>可以看到,它的区域变成了数组.然后把这个数组加入SUM函数中试试是什么结果</t>
  </si>
  <si>
    <t>=SUM({24.6;-24.7;56.25;-56.25;12.6;-12.6;398675;-398675})</t>
  </si>
  <si>
    <t>从结果可以看出,得到了我们想要的结果.按上面的公式,套用它的原理,把它改成=SUM(ROUND(B216:B223,2)),再数组回车.</t>
  </si>
  <si>
    <t>{=SUM(ROUND(B416:B423,2))}</t>
  </si>
  <si>
    <t>FLOOR(number,significance)</t>
  </si>
  <si>
    <t>(目标单元格,要保留位数)</t>
  </si>
  <si>
    <t>Number</t>
  </si>
  <si>
    <t>指定数值或数值所在的单元格引用.将参数沿绝对值减小的方向向下舍入,使其等于最接近的significance的倍数.</t>
  </si>
  <si>
    <t>significance</t>
  </si>
  <si>
    <t>基数</t>
  </si>
  <si>
    <t>1.如果任一参数为非数值参数,则FLOOR将返回错误值#VALUE!.
2.如果number和significance符号相反,则函数FLOOR将返回错误值#NUM!.
3.不论number的正负号如何,舍入时参数的绝对值都将减小.如果number恰好是significance的倍数,则无需进行任何舍入处理.</t>
  </si>
  <si>
    <t>值</t>
  </si>
  <si>
    <t>基准值</t>
  </si>
  <si>
    <t>=FLOOR(F515,F516)</t>
  </si>
  <si>
    <t>实例:一批货要装箱,计算数及余数</t>
  </si>
  <si>
    <t>每男每女生活馆 发货单</t>
  </si>
  <si>
    <t>商品名称</t>
  </si>
  <si>
    <t>总数</t>
  </si>
  <si>
    <t>每箱容量</t>
  </si>
  <si>
    <t>包装总数</t>
  </si>
  <si>
    <t>剩余数量</t>
  </si>
  <si>
    <t>所需箱子数量</t>
  </si>
  <si>
    <t>=FLOOR(C527,D527)</t>
  </si>
  <si>
    <t>将参数Number向上舍入(沿绝对值增大的方向)为最接近的significance的倍数</t>
  </si>
  <si>
    <t>CEILING(number,significance)</t>
  </si>
  <si>
    <t>CEILING(目标单元格,要保留位数)</t>
  </si>
  <si>
    <t>指定数值或数值所在的单元格引用.要四舍五入的数值</t>
  </si>
  <si>
    <t>基数.是需要四舍五入的乘数</t>
  </si>
  <si>
    <t>1.如果任一参数为非数值参数,则CEILING将返回错误值#VALUE!.
2.如果number和significance符号相反,则函数CEILING将返回错误值#NUM!.
3.无论数字符号如何,都按远离0的方向向上舍入.如果数字已经为Significance的倍数,则不进行舍入.</t>
  </si>
  <si>
    <t>=CEILING(F616,F617)</t>
  </si>
  <si>
    <t>=CEILING(C630,D630)</t>
  </si>
  <si>
    <t>返回参数按指定基数舍入后的数值</t>
  </si>
  <si>
    <t>MROUND(number,multiple)</t>
  </si>
  <si>
    <t>Multiple</t>
  </si>
  <si>
    <t>是要对数值number进行四舍五入的基数.</t>
  </si>
  <si>
    <t>如果数值number除以基数的余数大于或等于基数的一半,则函数MROUND向远离零的方向舍入.</t>
  </si>
  <si>
    <t>如果该函数不可用,并返回错误值#NAME?,请安装并加载"分析工具库"加载宏.</t>
  </si>
  <si>
    <t>=MROUND(F716,F717)</t>
  </si>
  <si>
    <t>=MROUND(C732,D732)</t>
  </si>
  <si>
    <t>返回沿绝对值增大方向取整后最接近的偶数(双数).使用该函数可以处理那些成对出现的对象.</t>
  </si>
  <si>
    <t>不管数值是否为正负,只将值计算成比它大的偶数.结果只能是整数</t>
  </si>
  <si>
    <t>EVEN(number)</t>
  </si>
  <si>
    <t>EVEN(目标数值或单元格)</t>
  </si>
  <si>
    <t>目标数值或单元格</t>
  </si>
  <si>
    <t>1.如果任一参数为非数值参数,则EVEN将返回错误值#VALUE!.
2.不论Number的正负号如何,函数都向远离零的方向舍入,如果Number恰好是偶数,则无需进行任何舍入处理</t>
  </si>
  <si>
    <t>=EVEN(H816)</t>
  </si>
  <si>
    <t>返回对指定数值进行向上舍入后的奇数.</t>
  </si>
  <si>
    <t>不管数值是否为正负,只将值计算成比它大的奇数(单数).结果只能是整数</t>
  </si>
  <si>
    <t>ODD(number)</t>
  </si>
  <si>
    <t>ODD(目标数值或单元格)</t>
  </si>
  <si>
    <t>1.如果number为非数值参数,函数ODD将返回错误值#VALUE!.
2.不论正负号如何,数值都朝着远离0的方向舍入.如果number恰好是奇数,则不须进行任何舍入处理.</t>
  </si>
  <si>
    <t>=ODD(H916)</t>
  </si>
  <si>
    <t>返回商的整数部分,该函数可用于舍掉商的小数部分.</t>
  </si>
  <si>
    <t>QUOTIENT(numerator,denominator)</t>
  </si>
  <si>
    <t>QUOTIENT(被除数,除数)</t>
  </si>
  <si>
    <t>numerator</t>
  </si>
  <si>
    <t>被除数</t>
  </si>
  <si>
    <t>denominator</t>
  </si>
  <si>
    <t>除数</t>
  </si>
  <si>
    <t>1.如果任一参数为非数值型,函数QUETIENT返回错误值#VALUE!.
2.此参数只能是一个单元格,不能是单元格区域.</t>
  </si>
  <si>
    <t>=QUOTIENT(B16,C16)</t>
  </si>
  <si>
    <t>=QUOTIENT(B17,C17)</t>
  </si>
  <si>
    <t>=QUOTIENT(B18,C18)</t>
  </si>
  <si>
    <t>=QUOTIENT(B19,C19)</t>
  </si>
  <si>
    <t>=QUOTIENT(B20,C20)</t>
  </si>
  <si>
    <t>=QUOTIENT(B21,C21)</t>
  </si>
  <si>
    <t>=QUOTIENT(B22,C22)</t>
  </si>
  <si>
    <t>返回两数相除的余数.结果的正负号与除数相同.</t>
  </si>
  <si>
    <t>MOD(number,divisor)</t>
  </si>
  <si>
    <t>MOD(被除数,除数)</t>
  </si>
  <si>
    <t>Divisor</t>
  </si>
  <si>
    <t>1.如果 divisor 为零,函数MOD返回错误值#DIV/0!.
2.函数 MOD 可以借用函数INT来表示:MOD(n,d) = n-d*INT(n/d).
3.此参数只能是一个单元格,不能是单元格区域.</t>
  </si>
  <si>
    <t>=MOD(B116,C116)</t>
  </si>
  <si>
    <t>=MOD(B117,C117)</t>
  </si>
  <si>
    <t>=MOD(B118,C118)</t>
  </si>
  <si>
    <t>=MOD(B119,C119)</t>
  </si>
  <si>
    <t>=MOD(B120,C120)</t>
  </si>
  <si>
    <t>综合实例:制作轮班表</t>
  </si>
  <si>
    <t>值班员</t>
  </si>
  <si>
    <t>公式显示(值班员)</t>
  </si>
  <si>
    <t>每男每女家居生活馆 值班人员编号</t>
  </si>
  <si>
    <t>=MOD(B127,4)</t>
  </si>
  <si>
    <t>编号</t>
  </si>
  <si>
    <t>每男每女家居生活馆4名员工按天数轮流值班负责卫生工作.</t>
  </si>
  <si>
    <t>姓名公式显示</t>
  </si>
  <si>
    <t>=VLOOKUP(C139,IF({1,0},$I$128:$I$131,$H$128:$H$131),2,0)</t>
  </si>
  <si>
    <t>按照垂直方向搜索区域,该函数使用方法详见VLOOKUP函数页</t>
  </si>
  <si>
    <t>返回两个或多个整数的最大公约数,最大公约数是能分别将Number1和Number2除尽的最大整数.</t>
  </si>
  <si>
    <t>GCD(number1,number2,……number29)</t>
  </si>
  <si>
    <t>GCD(要计算的单元格1,要计算的单元格2,……要计算的单元格29)  GCD(要计算区域)</t>
  </si>
  <si>
    <t>要计算的单元格或区域</t>
  </si>
  <si>
    <t>1.如果参数为非数值型,则函数GCD返回错误值#VALUE!.
2.如果参数小于零,则函数GCD返回错误值#NUM!.
3.任何数都能被1整除.
4.素数只能被其本身和1整除.</t>
  </si>
  <si>
    <t>1.如果该函数不可用,并返回错误值 #NAME?,请安装并加载"分析工具库"加载宏.
2.Number1,number2,……为1到29个数值,如果数值为非整数,则截尾取整.</t>
  </si>
  <si>
    <t>指定单个单元格</t>
  </si>
  <si>
    <t>数据</t>
  </si>
  <si>
    <t>说明（结果）</t>
  </si>
  <si>
    <t>=GCD(B17,C17)</t>
  </si>
  <si>
    <t>6和3的最大公约数(3)</t>
  </si>
  <si>
    <t>=GCD(B18,C18)</t>
  </si>
  <si>
    <t>34和48的最大公约数(2)</t>
  </si>
  <si>
    <t>=GCD(B19,C19)</t>
  </si>
  <si>
    <t>9和1的最大公约数(1)</t>
  </si>
  <si>
    <t>=GCD(B20,C20)</t>
  </si>
  <si>
    <t>6和0的最大公约数(6)</t>
  </si>
  <si>
    <t>=GCD(B21,C21)</t>
  </si>
  <si>
    <t>因为输入了负数,所以出错</t>
  </si>
  <si>
    <t>指定单元格区域</t>
  </si>
  <si>
    <t>=GCD(B25:F25)</t>
  </si>
  <si>
    <t>=GCD(B26:F26)</t>
  </si>
  <si>
    <t>=GCD(B27:F27)</t>
  </si>
  <si>
    <t>参数小于零,则函数GCD返回错误值#NUM!</t>
  </si>
  <si>
    <t>=GCD(B28:F28)</t>
  </si>
  <si>
    <t>=GCD(B29:F29)</t>
  </si>
  <si>
    <t>出错说明:参数为非数值型,则函数GCD返回错误值#VALUE!.</t>
  </si>
  <si>
    <t>返回整数的最小公倍数</t>
  </si>
  <si>
    <t>LCM(number1,number2,……number29)</t>
  </si>
  <si>
    <t>LCM(要计算的单元格1,要计算的单元格2,……要计算的单元格29)  LCM(要计算区域)</t>
  </si>
  <si>
    <t>1.最小公倍数是所有整数参数number1、number2等等的最小正整数倍数.用函数LCM可以将分母不同的分数相加
2.要计算最小公倍数的1到29个参数.如果参数不是整数,则截尾取整.</t>
  </si>
  <si>
    <t>1.如果该函数不可用,并返回错误值#NAME?,请安装并加载"分析工具库"加载宏.
2.如果参数为非数值型,函数LCM返回错误值#VALUE!.
3.如果有任何参数小于0,函数LCM返回错误值#NUM!.</t>
  </si>
  <si>
    <t>=LCM(B116:F116)</t>
  </si>
  <si>
    <t>=LCM(B117:F117)</t>
  </si>
  <si>
    <t>=LCM(B118:F118)</t>
  </si>
  <si>
    <t>=LCM(B119:F119)</t>
  </si>
  <si>
    <t>返回数字的绝对值.绝对值没有符号.</t>
  </si>
  <si>
    <t>所有数值都换成正数</t>
  </si>
  <si>
    <t>ABS(number)</t>
  </si>
  <si>
    <t>ABS(要计算的单元格)</t>
  </si>
  <si>
    <t>需要计算其绝对值的实数</t>
  </si>
  <si>
    <t>所谓绝对值,是指将数值上表示正负的符号去掉后得出的值,它表示该数值的"大小"(用数轴表示的话,就是与原点0的距离).</t>
  </si>
  <si>
    <t>1.此参数只能是一个单元格,不能是单元格区域.
2.如果参数为非数值型,则函数GCD返回错误值#VALUE!.</t>
  </si>
  <si>
    <t>求绝对值</t>
  </si>
  <si>
    <t>R2D2</t>
  </si>
  <si>
    <t>=ABS(H17)</t>
  </si>
  <si>
    <t>出错说明:参数为非数值型,则函数ABS返回错误值#VALUE!.</t>
  </si>
  <si>
    <t>返回数字的符号.当数字为正数时返回1,为零时返回0,为负数时返回-1.</t>
  </si>
  <si>
    <t>把大于0的数当1看待,小于0的数当-1看待,0还是0.</t>
  </si>
  <si>
    <t>SIGN(number)</t>
  </si>
  <si>
    <t>SIGN(要计算的单元格)</t>
  </si>
  <si>
    <t>为任意实数</t>
  </si>
  <si>
    <t>此参数只能是一个单元格,不能是单元格区域.</t>
  </si>
  <si>
    <t>=SIGN(H116)</t>
  </si>
  <si>
    <t>出错说明:参数为非数值型,则函数SIGN返回错误值#VALUE!.</t>
  </si>
  <si>
    <t>返回数的阶乘,一个数的阶乘等于1*2*3*...*该数</t>
  </si>
  <si>
    <t>FACT(number)</t>
  </si>
  <si>
    <t>FACT(要计算的单元格)</t>
  </si>
  <si>
    <t>要计算其阶乘的非负数.如果输入的Number不是整数,则截尾取整.</t>
  </si>
  <si>
    <t>在阶乘计算中,参数的值增大,返回的结果值会急剧增大.在此函数中,可以指定的Number的最大值是170.基结果是超过300位数的整数.</t>
  </si>
  <si>
    <t>1.如果参数为非数字的文本型,则函数FACT返回错误值#VALUE!.
2.如果参数负数时,则函数FACT返回错误值#NUM!.</t>
  </si>
  <si>
    <t>=FACT(G16)</t>
  </si>
  <si>
    <t>返回数字的双倍阶乘</t>
  </si>
  <si>
    <t>FACTDOUBLE(number)</t>
  </si>
  <si>
    <t>要计算其双倍阶乘的数值,如果参数Number为非整数,则截尾取整.</t>
  </si>
  <si>
    <t>Excel中函数归类在"工程函数"中.</t>
  </si>
  <si>
    <t>1.如果该函数不可用,并返回错误值#NAME?,请安装并加载"分析工具库"加载宏.
2.如果参数Number为非数值型,函数FACTDOUBLE返回错误值 #VALUE!.
3.如果参数Number为负值,函数FACTDOUBLE返回错误值 #NUM!.</t>
  </si>
  <si>
    <t>=FACTDOUBLE(G115)</t>
  </si>
  <si>
    <t>计算某个总数中抽出指定个数时可以使用几种"排列"方法.</t>
  </si>
  <si>
    <t>PERMUT(number,number_chosen)</t>
  </si>
  <si>
    <t>PERMUT(对象个数的整数,每个排列中对象个数的整数)</t>
  </si>
  <si>
    <t>表示对象个数的整数.此参数只能指定一个,而且不能指定单元格区域.当在总数中指定小数时,视为小数部分向下舍入后的整数进行运算.</t>
  </si>
  <si>
    <t>Number_chosen</t>
  </si>
  <si>
    <t>表示每个排列中对象个数的整数.此参数只能指定一个,而且不能指定单元格区域.当在总数中指定小数时,视为小数部分向下舍入后的整数进行运算.</t>
  </si>
  <si>
    <t>返回从给定数目的对象集合中选取的若干对象的排列数.排列为有内部顺序的对象或事件的任意集合或子集.排列与组合不同,组合的内部顺序无意义.此函数可用于彩票抽奖的概率计算.
当""总数"小于或等于1,"抽取数目"小于0,或"总数"小于"抽取个数"时,返回错误值#NUM!.</t>
  </si>
  <si>
    <t>1.两个参数将被截尾取整.
2.如果number或number_chosen为非数值型,函数PERMUT返回错误值#VALUE!.
3.如果number≤0或number_chosen&lt;0,函数PERMUT返回错误值#NUM!.
4.如 number&lt;number_chosen,函数PERMUT返回错误值#NUM!.</t>
  </si>
  <si>
    <t>赛马比赛前两名预测组合总数</t>
  </si>
  <si>
    <t>参赛马匹数量</t>
  </si>
  <si>
    <t>马单</t>
  </si>
  <si>
    <t>=PERMUT(K166,2)</t>
  </si>
  <si>
    <t>中奖率</t>
  </si>
  <si>
    <t>计算出购买赛马的"马单"时.根据参赛马的马匹数可以指定的马号的排列(排列方法)的数量.在此,所谓"马单"是指将第一个到达终点的马号→第二个到达终点的马号按照到达顺序进行猜测的组合总数.</t>
  </si>
  <si>
    <t>计算从给定数目的对象集合中提取若干对象的组合数。利用函数 COMBIN 可以确定一组对象所有可能的组合数</t>
  </si>
  <si>
    <t>COMBIN(number,number_chosen)</t>
  </si>
  <si>
    <t>COMBIN(为对象的总数量,为每一组合中对象的数量)</t>
  </si>
  <si>
    <t>为对象的总数量</t>
  </si>
  <si>
    <t>number_chosen</t>
  </si>
  <si>
    <t>为每一组合中对象的数量</t>
  </si>
  <si>
    <t>1.数字参数截尾取整.
2.如果参数为非数值型,则函数COMBIN返回错误值#VALUE!.
3.如果number&lt;0、number_chosen&lt;0或number&lt;number_chosen,COMBIN返回错误值 #NUM!.
4.不论其内部顺序,对象组合是对象整体的任意集合或子集.组合与排列不同,排列数与对象内部顺序有关.</t>
  </si>
  <si>
    <t>=COMBIN(K316,2)</t>
  </si>
  <si>
    <t>返回参数和的阶乘与各参数阶乘乘积的比值</t>
  </si>
  <si>
    <t>MULTINOMIAL(number1,number2, ...)</t>
  </si>
  <si>
    <t>MULTINOMIAL(指定单元格或数值)</t>
  </si>
  <si>
    <t>指定单元格或数值</t>
  </si>
  <si>
    <t>1.如果该函数不可用,并返回错误值#NAME?,请安装并加载"分析工具库"加载宏.
2.Number1,number2,……是用于进行函数Multinomial运算的1到29个数值参数.
3.如果有些参数为非数值型,函数 MULTINOMIAL 返回错误值 #VALUE!.
4.如果有些参数小于1,函数MULTINOMIAL返回错误值#NUM!.</t>
  </si>
  <si>
    <t>a</t>
  </si>
  <si>
    <t>b</t>
  </si>
  <si>
    <t>c</t>
  </si>
  <si>
    <t>=MULTINOMIAL(B418,C418,D418)</t>
  </si>
  <si>
    <t>SERIESSUM(x,n,m,coefficients)</t>
  </si>
  <si>
    <t>SERIESSUM(幂级数的输入值,为x的首项乘幂,为级数中每一项的乘幂n的步长增加值,为级数中每一项的乘幂n的步长增加值)</t>
  </si>
  <si>
    <t>X </t>
  </si>
  <si>
    <t>幂级数的输入值</t>
  </si>
  <si>
    <t>为x的首项乘幂</t>
  </si>
  <si>
    <t>为级数中每一项的乘幂n的步长增加值</t>
  </si>
  <si>
    <t>Coefficients</t>
  </si>
  <si>
    <t>为一系列与x各级乘幂相乘的系数.coefficients值的数目决定了幂级数的项数.例如,coefficients中有三个值,幂级数中将有三项.</t>
  </si>
  <si>
    <t>如果任一参数为非数值型,函数SERIESSUM返回错误值#VALUE.</t>
  </si>
  <si>
    <t>基于麦克劳林公式计算近似值</t>
  </si>
  <si>
    <t>系数1</t>
  </si>
  <si>
    <t>系数2</t>
  </si>
  <si>
    <t>系数3</t>
  </si>
  <si>
    <t>系数4</t>
  </si>
  <si>
    <t>=SERIESSUM(0.2,1,2,B19:E19)</t>
  </si>
  <si>
    <t>参考</t>
  </si>
  <si>
    <t>sin0.2</t>
  </si>
  <si>
    <t>返回正平方根</t>
  </si>
  <si>
    <t>计算正平方根</t>
  </si>
  <si>
    <t>SQRT(number)</t>
  </si>
  <si>
    <t>SQRT(要计算平方根的数)</t>
  </si>
  <si>
    <t>要计算平方根的数</t>
  </si>
  <si>
    <t>如果参数Number为负值,函数SQRT返回错误值#NUM!.</t>
  </si>
  <si>
    <t>=SQRT(G115)</t>
  </si>
  <si>
    <t>返回某数与pi的乘积的平方根</t>
  </si>
  <si>
    <t>SQRTPI(number)</t>
  </si>
  <si>
    <t>SQRTPI(用来与π相乘的数)</t>
  </si>
  <si>
    <t>用来与π相乘的数</t>
  </si>
  <si>
    <t>如果number&lt;0,则函数SQRTPI返回错误值#NUM!.</t>
  </si>
  <si>
    <t>如果该函数不可用,并返回错误值 #NAME?,请安装并加载"分析工具库"加载宏.</t>
  </si>
  <si>
    <t>=SQRTPI(G215)</t>
  </si>
  <si>
    <t>返回给定数字的乘幂</t>
  </si>
  <si>
    <t>POWER(number,power)</t>
  </si>
  <si>
    <t>POWER(底数,指数)</t>
  </si>
  <si>
    <t>底数,可以为任意实数.</t>
  </si>
  <si>
    <t>Power</t>
  </si>
  <si>
    <t>指数,底数按该指数次幂乘方.</t>
  </si>
  <si>
    <t>可以用"^"运算符代替函数POWER来表示对底数乘方的幂次,例如 5^2.</t>
  </si>
  <si>
    <t>X</t>
  </si>
  <si>
    <t>=POWER(2,B17)</t>
  </si>
  <si>
    <t>返回e的n次幂.常数e等于2.71828182845904,是自然对数的底数.</t>
  </si>
  <si>
    <t>EXP(number)</t>
  </si>
  <si>
    <t>EXP(目标单元格)</t>
  </si>
  <si>
    <t>为底数e的指数.</t>
  </si>
  <si>
    <t>1.若要计算以其他常数为底的幂,请使用指数操作符(^).
2.EXP函数是计算自然对数的LN函数的反函数.</t>
  </si>
  <si>
    <t>如果任一参数为非数值型，函数EXP返回错误值#VALUE</t>
  </si>
  <si>
    <t>求自然对数e的幂乘</t>
  </si>
  <si>
    <t>指数</t>
  </si>
  <si>
    <t>自然对数e的幂乘</t>
  </si>
  <si>
    <t>=EXP(D117)</t>
  </si>
  <si>
    <t>按所指定的底数,返回一个数的对数.</t>
  </si>
  <si>
    <t>LOG(number,base)</t>
  </si>
  <si>
    <t>LOG(目标单元格,对数的底数)</t>
  </si>
  <si>
    <t>为用于计算对数的正实数.</t>
  </si>
  <si>
    <t>Base</t>
  </si>
  <si>
    <t>为对数的底数.如果省略底数,假定其值为10.</t>
  </si>
  <si>
    <t>1.如果参数Number为0或负值,函数LOG返回错误值#NUM!.
2.如果参数为非数值型,则函数GCD返回错误值#VALUE!.</t>
  </si>
  <si>
    <t>计算从0.1到4的数值的以2为底数.</t>
  </si>
  <si>
    <t>=LOG(B217,2)</t>
  </si>
  <si>
    <t>用来计算指定的"Number"的以10为底数的对数.也就是常用的对数</t>
  </si>
  <si>
    <t>LOG10(Number)</t>
  </si>
  <si>
    <t>LOG10(目标单元格)</t>
  </si>
  <si>
    <t>目标单元格</t>
  </si>
  <si>
    <t>1.如果参数Number为0或负值,函数LOG10返回错误值#NUM!.
2.如果参数为非数值型,则函数LOG10返回错误值#VALUE!.</t>
  </si>
  <si>
    <t>计算指定数值的常用对数</t>
  </si>
  <si>
    <t>=LOG10(H317)</t>
  </si>
  <si>
    <t>计算作为指定的"Number"以自然对数的底e为底的对数,也就是自然数.</t>
  </si>
  <si>
    <t>LN(Number)</t>
  </si>
  <si>
    <t>LN(目标单元格)</t>
  </si>
  <si>
    <t>1.如果参数Number为0或负值,函数LN返回错误值#NUM!.
2.如果参数为非数值型,则函数LN返回错误值#VALUE!.</t>
  </si>
  <si>
    <t>自然对数</t>
  </si>
  <si>
    <t>=LN(H416)</t>
  </si>
  <si>
    <t>返回给定角度的正弦值</t>
  </si>
  <si>
    <t>SIN(number)</t>
  </si>
  <si>
    <t>SIN(目标单元格)</t>
  </si>
  <si>
    <t>为需要求正弦的角度,以弧度表示.</t>
  </si>
  <si>
    <t>由于"Number"中必须指定以弧度为单位的角度.</t>
  </si>
  <si>
    <t>1.如果参数的单位是度,则可以乘以PI()/180或使用RADIANS函数将其转换为弧度.
2.如果参数为非数值型,则函数SIN返回错误值#VALUE!.</t>
  </si>
  <si>
    <t>计算出角度的余弦值</t>
  </si>
  <si>
    <t>=SIN(B17)</t>
  </si>
  <si>
    <t>返回给定角度的余弦值.</t>
  </si>
  <si>
    <t>COS(number)</t>
  </si>
  <si>
    <t>COS(目标单元格)</t>
  </si>
  <si>
    <t>为需要求余弦的角度,以弧度表示.</t>
  </si>
  <si>
    <t>如果参数的单位是度,则可以乘以PI()/180或使用RADIANS函数将其转换成弧度.</t>
  </si>
  <si>
    <t>如果参数为非数值型或单元格区域,则函数COS返回错误值#VALUE!.</t>
  </si>
  <si>
    <t>=COS(B116)</t>
  </si>
  <si>
    <t>返回给定角度的正切值</t>
  </si>
  <si>
    <t>TAN(number)</t>
  </si>
  <si>
    <t>TAN(目标单元格)</t>
  </si>
  <si>
    <t>为要求正切的角度,以弧度表示.</t>
  </si>
  <si>
    <t>如果参数的单位是度,则可以乘以PI()/180或使用RADIANS函数将其转换为弧度</t>
  </si>
  <si>
    <t>如果参数为非数值型或单元格区域,则函数TAN返回错误值#VALUE!.</t>
  </si>
  <si>
    <t>计算成本1.5到1.5之间的正切值</t>
  </si>
  <si>
    <t>=TAN(B216)</t>
  </si>
  <si>
    <t>返回参数的反正弦值.反正弦值为一个角度,该角度的正弦值即等于此函数的number参数.返回的角度值将以弧度表示,范围为-pi/2到pi/2.</t>
  </si>
  <si>
    <t>计算反正弦值.</t>
  </si>
  <si>
    <t>ASIN(number)</t>
  </si>
  <si>
    <t>ASIN(角度的正弦值或单元格)</t>
  </si>
  <si>
    <t>角度的正弦值,必须介于-1到1之间.</t>
  </si>
  <si>
    <t>若要用度表示反正弦值,请将结果再乘以180/PI()或用DEGREES函数表示.</t>
  </si>
  <si>
    <t>计算指定数值的反正弦值</t>
  </si>
  <si>
    <t>反正弦值</t>
  </si>
  <si>
    <t>=ASIN(I316)</t>
  </si>
  <si>
    <t>返回数字的反余弦值.反余弦值是角度,它的余弦值为数字.返回的角度值以弧度表示,范围是0到pi.</t>
  </si>
  <si>
    <t>ACOS(number)</t>
  </si>
  <si>
    <t>ACOS(角度的余弦值或单元格)</t>
  </si>
  <si>
    <t>角度的余弦值,必须介于-1到1之间.</t>
  </si>
  <si>
    <t>如果要用度表示反余弦值,请将结果再乘以180/PI()或用DEGREES函数.</t>
  </si>
  <si>
    <t>=ACOS(I416)</t>
  </si>
  <si>
    <t>返回反正切值.反正切值为角度,其正切值即等于number参数值.返回的角度值将以弧度表示,范围为-pi/2 到 pi/2.</t>
  </si>
  <si>
    <t>ATAN(number)</t>
  </si>
  <si>
    <t>ATAN(角度的正切值)</t>
  </si>
  <si>
    <t>角度的正切值</t>
  </si>
  <si>
    <t>若要用度表示反正切值,请将结果再乘以180/PI( )或使用DEGREES函数.</t>
  </si>
  <si>
    <t>y坐标</t>
  </si>
  <si>
    <t>=ATAN(I516)</t>
  </si>
  <si>
    <t>返回给定的X及Y坐标值的反正切值.反正切的角度值等于X轴与通过原点和给定坐标点(x_num,y_num)的直线之间的夹角.结果以弧度表示并介于-pi到pi之间(不包括-pi).</t>
  </si>
  <si>
    <t>ATAN2(x_num,y_num)</t>
  </si>
  <si>
    <t>ATAN2(点的X坐标,点的Y坐标)</t>
  </si>
  <si>
    <t>X_num</t>
  </si>
  <si>
    <t>点的X坐标</t>
  </si>
  <si>
    <t>Y_num</t>
  </si>
  <si>
    <t>点的Y坐标</t>
  </si>
  <si>
    <t>1.结果为正表示从X轴逆时针旋转的角度,结果为负表示从X轴顺时针旋转的角度.
2.ATAN2(a,b)等于ATAN(b/a),除非ATAN2值为零
3.如果x_num和y_num都为零,ATAN2返回错误值#DIV/0!.
4.若要用度表示反正切值,请将结果再乘以180/PI( )或使用DEGREES函数.</t>
  </si>
  <si>
    <t>x坐标</t>
  </si>
  <si>
    <t>反正切值换算成度</t>
  </si>
  <si>
    <t>=ATAN2(I616,I617)</t>
  </si>
  <si>
    <t>返回数字3.14159265358979,即数学常量pi,精确到小数点后14位.</t>
  </si>
  <si>
    <t>PI()</t>
  </si>
  <si>
    <t>无须参数</t>
  </si>
  <si>
    <t>=PI()</t>
  </si>
  <si>
    <t>RADIANS(angle)</t>
  </si>
  <si>
    <t>RADIANS(目标单元格)</t>
  </si>
  <si>
    <t>Angle</t>
  </si>
  <si>
    <t>为需要转换成弧度的角度</t>
  </si>
  <si>
    <t>如果参数为非数值型或单元格区域,则函数RADIANS返回错误值#VALUE!.</t>
  </si>
  <si>
    <t>角度</t>
  </si>
  <si>
    <t>弧度</t>
  </si>
  <si>
    <t>=RADIANS(H116)</t>
  </si>
  <si>
    <t>DEGREES(angle)</t>
  </si>
  <si>
    <t>DEGREES(待转换的弧度角)</t>
  </si>
  <si>
    <t>待转换的弧度角</t>
  </si>
  <si>
    <t>=DEGREES(H216)</t>
  </si>
  <si>
    <t>返回某一数字的双曲正弦值</t>
  </si>
  <si>
    <t>SINH(number)</t>
  </si>
  <si>
    <t>SINH(目标单元格)</t>
  </si>
  <si>
    <t>如果参数为非数值型或单元格区域,则函数SINH返回错误值#VALUE!.</t>
  </si>
  <si>
    <t>计算出从-4到4之间的数值的双曲弦值</t>
  </si>
  <si>
    <t>=SINH(B17)</t>
  </si>
  <si>
    <t>返回数字的双曲余弦值</t>
  </si>
  <si>
    <t>COSH(number)</t>
  </si>
  <si>
    <t>COSH(目标单元格)</t>
  </si>
  <si>
    <t>表示要求双曲余弦的任意实数</t>
  </si>
  <si>
    <t>如果参数为非数值型或单元格区域,则函数COSH返回错误值#VALUE!.</t>
  </si>
  <si>
    <t>计算出从-4到4之间的数值的双曲余弦值</t>
  </si>
  <si>
    <t>=COSH(B116)</t>
  </si>
  <si>
    <t>回某一数字的双曲正切</t>
  </si>
  <si>
    <t>TANH(number)</t>
  </si>
  <si>
    <t>TANH(目标单元格)</t>
  </si>
  <si>
    <t>如果参数为非数值型或单元格区域,则函数TANH返回错误值#VALUE!.</t>
  </si>
  <si>
    <t>计算出从-4到4之间的数值的双曲正切值</t>
  </si>
  <si>
    <t>=TANH(B216)</t>
  </si>
  <si>
    <t>返回参数的反双曲正弦值.反双曲正弦值的双曲正弦即等于此函数的number参数值,因此ASINH(SINH(number))等于 number参数值.</t>
  </si>
  <si>
    <t>ASINH(number)</t>
  </si>
  <si>
    <t>ASINH(目标单元格)</t>
  </si>
  <si>
    <t>如果参数为非数值型或单元格区域,则函数ASINH返回错误值#VALUE!.</t>
  </si>
  <si>
    <t>计算出从-4到4之间的数值的双曲反正切值</t>
  </si>
  <si>
    <t>=ASINH(B316)</t>
  </si>
  <si>
    <t>返回number参数的反双曲余弦值.参数必须大于或等于1.反双曲余弦值的双曲余弦即为该函数的参数,因此ACOSH(COSH(number))等于number.</t>
  </si>
  <si>
    <t>ACOSH(number)</t>
  </si>
  <si>
    <t>ACOSH(目标单元格)</t>
  </si>
  <si>
    <t>Number </t>
  </si>
  <si>
    <t>大于等于1的实数</t>
  </si>
  <si>
    <t>1.如果参数为非数值型或单元格区域,则函数ACOSH返回错误值#VALUE!.
2.当参数中指定了小于1的数值时返回错误值#NUM!.</t>
  </si>
  <si>
    <t>计算出从1到6之间的数值的双曲反余弦值</t>
  </si>
  <si>
    <t>=ACOSH(B417)</t>
  </si>
  <si>
    <t>返回参数的反双曲正切值,参数必须介于-1到1之间(除去-1和1).反双曲正切值的双曲正切即为该函数的number参数值,因此ATANH(TANH(number))等于number.</t>
  </si>
  <si>
    <t>计算比曲反正切值</t>
  </si>
  <si>
    <t>ATANH(number)</t>
  </si>
  <si>
    <t>ATANH(目标单元格)</t>
  </si>
  <si>
    <t>-1到1之间的任意实数</t>
  </si>
  <si>
    <t>1.如果参数为非数值型或单元格区域,则函数ATANH返回错误值#VALUE!.
2.当参数中指定了小于-1或大于1的数值时返回错误值#NUM!.</t>
  </si>
  <si>
    <t>计算计算双曲反正切值</t>
  </si>
  <si>
    <t>=ATANH(B516)</t>
  </si>
  <si>
    <t>返回一个数组的矩阵行列式的值</t>
  </si>
  <si>
    <t>MDETERM(array)</t>
  </si>
  <si>
    <t>MDETERM(行数和列数相等的数值数组)</t>
  </si>
  <si>
    <t>Array</t>
  </si>
  <si>
    <t>行数和列数相等的数值数组</t>
  </si>
  <si>
    <t>1.Array可以是单元格区域,例如A1:C3；或是一个数组常量,如{1,2,3;4,5,6;7,8,9}；或是区域或数组常量的名称.
2.如果Array中单元格是空白或包含文字,则函数MDETERM返回错误值#VALUE!.
3.如果Array的行和列的数目不相等,则函数MDETERM也返回错误值#VALUE!.
4.矩阵的行列式值是由数组中的各元素计算而来的.对一个三行、三列的数组A1:C3,其行列式的值定义如下:MDETERM(A1:C3)等于A1*(B2*C3-B3*C2)+A2*(B3*C1-B1*C3)+A3*(B1*C2-B2*C1)
5.矩阵的行列式值常被用来求解多元联立方程函数MDETERM的精确度可达十六位有效数字,因此运算结果因位数的取舍可能导致某些微小误差.例如,奇异矩阵的行列式值可能与零存在1E-16的误差.</t>
  </si>
  <si>
    <t>矩阵</t>
  </si>
  <si>
    <t>行列式的值</t>
  </si>
  <si>
    <t>=MDETERM(B18:D20)</t>
  </si>
  <si>
    <t>返回数组矩阵的逆距阵</t>
  </si>
  <si>
    <t>MINVERSE(array)</t>
  </si>
  <si>
    <t>MINVERSE(是具有相等行数和列数的数值数组)</t>
  </si>
  <si>
    <t>Array </t>
  </si>
  <si>
    <t>是具有相等行数和列数的数值数组</t>
  </si>
  <si>
    <t>1.Array可以是单元格区域,例如A1:C3；数组常量如{1,2,3;4,5,6;7,8,9}；或区域和数组常量的名称.
2.如果在Array中单元格是空白单元格或包含文字,则函数MINVERSE返回错误值#VALUE!.
3.如果Array的行和列的数目不相等,则函数MINVERSE也返回错误值#VALUE!.
4.对于返回结果为数组的公式,必须以数组公式的形式输入.
5.函数MINVERSE的精确度可达十六位有效数字,因此运算结果因位数的取舍可能会导致小的误差.
6.对于一些不能求逆的矩阵,函数MINVERSE将返回错误值#NUM!.不能求逆的矩阵的行列式值为零,</t>
  </si>
  <si>
    <t>逆矩阵</t>
  </si>
  <si>
    <t>{=MINVERSE(B117:D119)}</t>
  </si>
  <si>
    <t>公式输入式:</t>
  </si>
  <si>
    <t>1.在F117输入公式;</t>
  </si>
  <si>
    <t>2.选中与左边的矩阵一样大的区域;</t>
  </si>
  <si>
    <t>3.回到编辑栏(插入函数栏)点击公式激活编辑模式;</t>
  </si>
  <si>
    <t>4.用数组公式方式键回车.</t>
  </si>
  <si>
    <t>返回两数组的矩阵乘积。结果矩阵的行数与 array1 的行数相同，矩阵的列数与 array2 的列数相同。</t>
  </si>
  <si>
    <t>MMULT(array1,array2)</t>
  </si>
  <si>
    <t>MMULT(要进行矩阵乘法运算的数组1,要进行矩阵乘法运算的数组2)</t>
  </si>
  <si>
    <t>Array1</t>
  </si>
  <si>
    <t>是要进行矩阵乘法运算的两个数组</t>
  </si>
  <si>
    <t>1.Array1的列数必须与array2的行数相同,而且两个数组中都只能包含数值.
2.Array1和array2可以是单元格区域、数组常量或引用,
3.如果单元格是空白单元格或含有文本字符串,或是array1的行数与array2的列数不相等时,则函数MMULT返回错误值#VALUE!.
4.对于返回结果为数组的公式,必须以数组公式的形式输入.</t>
  </si>
  <si>
    <t>矩阵A</t>
  </si>
  <si>
    <t>矩阵A×矩阵B</t>
  </si>
  <si>
    <t>{=MMULT(B216:D218,B222:C224)}</t>
  </si>
  <si>
    <t>矩阵B</t>
  </si>
  <si>
    <t>返回大于等于0及小于1的均匀分布随机数,每次计算工作表时都将返回一个新的数值.</t>
  </si>
  <si>
    <t>RAND()</t>
  </si>
  <si>
    <t>不需要参数</t>
  </si>
  <si>
    <t>1.若要生成a与b之间的随机实数,请使用:RAND()*(b-a)+a
2.如果要使用函数RAND生成一随机数,并且使之不随单元格计算而改变,可以在编辑栏中输入"=RAND()",保持编辑状态,然后按F9,将公式永久性地改为随机数.</t>
  </si>
  <si>
    <t>=RAND()</t>
  </si>
  <si>
    <t>经典用法:指定数值间的随机数</t>
  </si>
  <si>
    <t>最小数值(A)</t>
  </si>
  <si>
    <t>最大数值(B)</t>
  </si>
  <si>
    <t>求在于A且小于B的随机数</t>
  </si>
  <si>
    <t>=RAND()*(G23-G22)+G22</t>
  </si>
  <si>
    <t>E24为例公式解释:(G23-G22)=10,再加产生的随机数,如是0.3,那么0.3*10=3,再加上10,随机结果就是为13.</t>
  </si>
  <si>
    <t>返回位于两个指定数之间的一个随机数.每次计算工作表时都将返回一个新的数值.</t>
  </si>
  <si>
    <t>生成一个指定数值之间的随机数</t>
  </si>
  <si>
    <t>RANDBETWEEN(bottom,top)</t>
  </si>
  <si>
    <t>RANDBETWEEN(最小整数,最大整数)</t>
  </si>
  <si>
    <t>Bottom</t>
  </si>
  <si>
    <t>函数RANDBETWEEN将返回的最小整数</t>
  </si>
  <si>
    <t>Top</t>
  </si>
  <si>
    <t>函数RANDBETWEEN将返回的最大整数</t>
  </si>
  <si>
    <t>数值(A)</t>
  </si>
  <si>
    <t>数值(B)</t>
  </si>
  <si>
    <t>=RANDBETWEEN(G115,G116)</t>
  </si>
  <si>
    <t>判断是与不是</t>
  </si>
  <si>
    <t>IF(logical_test,value_if_true,value_if_false)</t>
  </si>
  <si>
    <t>IF(条件,与条件一样时运算这个,与条件不同时运算这个)</t>
  </si>
  <si>
    <t>logical_test</t>
  </si>
  <si>
    <t>条件.必需.计算结果可能为 TRUE 或 FALSE 的任意值或表达式</t>
  </si>
  <si>
    <t>value_if_true</t>
  </si>
  <si>
    <t>可选.logical_test参数的计算结果为TRUE时所要返回的值.例如,如果此参数的值为文本字符串"预算内",并且logical_test参数的计算结果为TRUE,则IF函数返回文本"预算内".如果logical_test的计算结果为TRUE,并且省略value_if_true参数(即logical_test参数后仅跟一个逗号),IF函数将返回0(零).若要显示单词TRUE,请对value_if_true参数使用逻辑值TRUE.</t>
  </si>
  <si>
    <t>value_if_false</t>
  </si>
  <si>
    <t>可选.logical_test参数的计算结果为FALSE时所要返回的值.例如,如果此参数的值为文本字符串"超出预算",并且logical_test参数的计算结果为FALSE,则IF函数返回文本"超出预算".如果logical_test的计算结果为FALSE,并且省略value_if_false参数(即value_if_true参数后没有逗号),则IF函数返回逻辑值FALSE.如果logical_test的计算结果为FALSE,并且省略value_if_false参数的值(即,在IF函数中,value_if_true参数后没有逗号),则IF函数返回值0（零）.</t>
  </si>
  <si>
    <t>1.IF 函数语法具有下列参数(参数:为操作、事件、方法、属性、函数或过程提供信息的值.)
2.2003版最多嵌套7个IF函数.2007版最多嵌套64个IF函数.</t>
  </si>
  <si>
    <t>判断数值是否大于50</t>
  </si>
  <si>
    <t>大于</t>
  </si>
  <si>
    <t>小于</t>
  </si>
  <si>
    <t>=IF(B17&gt;50,"大于","小于")</t>
  </si>
  <si>
    <t>IF判断的结果只有TRUE(真的意思)当作1,FALSE(假的意思)当作0.也就是,符合要求与否,一般只要理解为:</t>
  </si>
  <si>
    <t>=IF(B18&gt;50,"大于","小于")</t>
  </si>
  <si>
    <t>=IF(B19&gt;50,E16,F16)</t>
  </si>
  <si>
    <t>=IF(条件,对,错)</t>
  </si>
  <si>
    <t>=IF(B20&gt;50,E16,)</t>
  </si>
  <si>
    <t>也就是,与条件一样,就用"对"的计算,与条件不同,就用"错"的计算.</t>
  </si>
  <si>
    <t>在IF公式中，有逗号而逗号后面没东西的话相当于逗号后面是0</t>
  </si>
  <si>
    <t>17行的公式为例,因为100大于50,所以就用"对"的参数计算,对的参数里输入的是"大于",那么就显示"大于".18行的数值是10,小于了50,所以就判断为用"否"的那部分计算."否"的那部分输入的是"小于",那么公式就显示"小于".</t>
  </si>
  <si>
    <t>嵌套式经典用法</t>
  </si>
  <si>
    <t>任务奖</t>
  </si>
  <si>
    <t>完成任务</t>
  </si>
  <si>
    <t>奖金</t>
  </si>
  <si>
    <t>小于60.00%</t>
  </si>
  <si>
    <t>注：比例50%实际计算值为大于50%小于60%之间的值.</t>
  </si>
  <si>
    <t>=IF(C38&gt;=$H$36,$I$36,IF(C38&gt;=$H$35,$I$35,IF(C38&gt;=$H$34,$I$34,IF(C38&gt;=$H$33,$I$33,IF(C38&gt;=$H$32,$I$32,IF(C38&gt;=$H$31,$I$31,0))))))</t>
  </si>
  <si>
    <t>=IF(C31&gt;=$H$36,$I$36,IF(C31&gt;=$H$35,$I$35,IF(C31&gt;=$H$34,$I$34,IF(C31&gt;=$H$33,$I$33,IF(C31&gt;=$H$32,$I$32,IF(C31&gt;=$H$31,$I$31,0))))))</t>
  </si>
  <si>
    <t>公式说明</t>
  </si>
  <si>
    <t>=如果C31&gt;=110%,那么就代表对,显示300,不符合,就进入下一个IF,C31&gt;=100%.因为又不符合,就再进入下一个IF,C31&gt;=90%,符合,那么,就以这一步计算为准,显示200.</t>
  </si>
  <si>
    <t>错误公式</t>
  </si>
  <si>
    <t>这里出错是因为逻辑上出了错误,到红色部分,条件已满足,公式得出50,不再继续运算.</t>
  </si>
  <si>
    <t>突破函数的7层嵌套限制(2003版)</t>
  </si>
  <si>
    <t>条件输入</t>
  </si>
  <si>
    <t>定义名称</t>
  </si>
  <si>
    <t>=IF(C57=1,1,IF(C57=2,2,IF(C57=3,3,IF(C57=4,4,IF(C57=5,5,IF(C57=6,6,""))))))</t>
  </si>
  <si>
    <t>10级嵌套</t>
  </si>
  <si>
    <t>=IF(C57&lt;=6,"",IF(C57=7,7,IF(C57=8,8,IF(C57=9,9,IF(C57=10,10,"")))))</t>
  </si>
  <si>
    <t>说明IF函数条件关系是有先后顺序</t>
  </si>
  <si>
    <t>本例重点:"--"在公式中的运用</t>
  </si>
  <si>
    <t>每男每女内衣12345</t>
  </si>
  <si>
    <t>如B66单元格=每男每女内衣12345</t>
  </si>
  <si>
    <t>=IF(LEFT(B66,4)="每男每女",--MID(B66,7,3),IF(LEN(B66)=11,--MID(B66,7,1),"没有符合"))</t>
  </si>
  <si>
    <t>返回数值123</t>
  </si>
  <si>
    <t>LEFT:从一个文本字符串的第一个字符开始，截取指定数目的字符</t>
  </si>
  <si>
    <t>MID:从一个文本字符串的指定位置开始，截取指定数目的字符</t>
  </si>
  <si>
    <t>LEN:统计文本字符串中字符数目</t>
  </si>
  <si>
    <t>第一步：</t>
  </si>
  <si>
    <t>=LEFT(B66,4)</t>
  </si>
  <si>
    <t>解释公式:一个文本字符串的第一个字符开始，截取指定的四个字符</t>
  </si>
  <si>
    <t>第二步：</t>
  </si>
  <si>
    <t>=--MID(B66,7,3)</t>
  </si>
  <si>
    <t>解释公式:一个文本字符串的第七个字符开始，截取指定的三个字符</t>
  </si>
  <si>
    <t>解释公式里的"--":下面为公式里加"--"与不加的结果</t>
  </si>
  <si>
    <t>加"--"</t>
  </si>
  <si>
    <t>不加"--"</t>
  </si>
  <si>
    <t>=MID(B66,7,3)</t>
  </si>
  <si>
    <t>用SUM计算</t>
  </si>
  <si>
    <t>=SUM(H76:H77)</t>
  </si>
  <si>
    <t>与"--"相同的方式还有</t>
  </si>
  <si>
    <t>+0</t>
  </si>
  <si>
    <t>-0</t>
  </si>
  <si>
    <t>*1</t>
  </si>
  <si>
    <t>/1</t>
  </si>
  <si>
    <t>=-MID(B66,7,3)</t>
  </si>
  <si>
    <t>如上行所视用一个"-"号,那么数值转换成负数,所以加两个"--",负负得正,完成数据类型转换.</t>
  </si>
  <si>
    <t>第三步：</t>
  </si>
  <si>
    <t>=LEN(B66)</t>
  </si>
  <si>
    <t>第四步：</t>
  </si>
  <si>
    <t>=--MID(B66,7,1)</t>
  </si>
  <si>
    <t>第五步：</t>
  </si>
  <si>
    <t>="没有符合"</t>
  </si>
  <si>
    <t>AAAAAA12345</t>
  </si>
  <si>
    <t>如把单元格换成=AAAAAA12345</t>
  </si>
  <si>
    <t>因前四位不是"每男每女",所以用上面红色部分运算,符合要求,所以结果为字符串的指定位置第二个开始,截取指定数目第一个的字符,结果为"1"</t>
  </si>
  <si>
    <t>因一位不是"N",所以用上面红色部分运算,要求也不符合.所有的要求都是符合,所以结果为最后的条件,"没有符合"</t>
  </si>
  <si>
    <t>如把单元格换成=每男每女内衣12345</t>
  </si>
  <si>
    <t>=IF(LEFT(B98,4)="每男每女",--MID(B98,7,3),IF(LEN(B98)=11,--MID(B98,7,1),"没有符合"))</t>
  </si>
  <si>
    <t>虽然红色部分统计文本字符串中字符数目符合"6"的要求,但是"每男每女"的要求先符合,所以,灰色部分先运算,结果为"123".</t>
  </si>
  <si>
    <t>由此可见,在数据有可能同时满足if函数里多个条件的时候,默认为第一个条件返还值,这点在设计条件函数的时候要注意，不然可能出错.</t>
  </si>
  <si>
    <t>因此条件之间的关系不是并列而是有先后的</t>
  </si>
  <si>
    <t>所有参数的逻辑值为真时,返回TRUE；只要一个参数的逻辑值为假,即返回FALSE.</t>
  </si>
  <si>
    <t>AND(logical1,logical2,……logical30)</t>
  </si>
  <si>
    <t>AND(要判断的单元格)</t>
  </si>
  <si>
    <t>logical</t>
  </si>
  <si>
    <t>参数必须是逻辑值TRUE或FALSE,或者包含逻辑值的数组或引用.如果数组或引用参数中包含文本或空白单元格,则这些值将被忽略.如果指定的单元格区域内包括非逻辑值,则AND将返回错误值#VALUE!.</t>
  </si>
  <si>
    <t>1.如果指定的区域中不包含逻辑值或数值时,函数AND返回错误值#VALUE!.
2.Logical1,logical2,……logical30表示待检测的1到30个条件值,各条件值可为TRUE或FALSE。</t>
  </si>
  <si>
    <t>输入式</t>
  </si>
  <si>
    <t>引用式</t>
  </si>
  <si>
    <t>=AND(C19="女",D19&gt;25)</t>
  </si>
  <si>
    <t>=AND(C19=$J$16,D19&gt;$J$17)</t>
  </si>
  <si>
    <t>每门课程都在80分以上为优,反之为不及格.</t>
  </si>
  <si>
    <t>每男每女家居生活馆 考核成绩表</t>
  </si>
  <si>
    <t>陈列课目</t>
  </si>
  <si>
    <t>服务课目</t>
  </si>
  <si>
    <t>=IF(AND(C37&gt;80,D37&gt;80),"优","不及格")</t>
  </si>
  <si>
    <t>在其参数组中,任何一个参数逻辑值为TRUE,即返回TRUE；任何一个参数的逻辑值为FALSE,即返回FALSE.</t>
  </si>
  <si>
    <t>OR(logical1,logical2,……logical30)</t>
  </si>
  <si>
    <t>OR(要判断的单元格)</t>
  </si>
  <si>
    <t>参数必须能计算为逻辑值,如TRUE或FALSE,或者为包含逻辑值的数组或引用.如果数组或引用参数中包含文本或空白单元格,则这些值将被忽略.</t>
  </si>
  <si>
    <t>1.如果指定的区域中不包含逻辑值,函数OR返回错误值#VALUE!.
2.可以使用OR数组公式来检验数组中是否包含特定的数值.若要输入数组公式,请按Ctrl+Shift+Enter.</t>
  </si>
  <si>
    <t>Logical1,logical2,……logical30表示待检测的1到30个条件值,各条件值可为TRUE或FALSE。</t>
  </si>
  <si>
    <t>=OR(C118="女",D118&gt;25)</t>
  </si>
  <si>
    <t>=OR(C118=$J$115,D118&gt;$J$116)</t>
  </si>
  <si>
    <t>其中一门课程在80分以上为合格,反之为不合格.</t>
  </si>
  <si>
    <t>陈列</t>
  </si>
  <si>
    <t>服务</t>
  </si>
  <si>
    <t>=IF(OR(C136&gt;80,D136&gt;80),"合格","不合格")</t>
  </si>
  <si>
    <t>对参数值求反.当要确保一个值不等于某一特定值时,可以使用NOT函数.</t>
  </si>
  <si>
    <t>NOT(logical)</t>
  </si>
  <si>
    <t>NOT(要判断的单元格)</t>
  </si>
  <si>
    <t>Logical</t>
  </si>
  <si>
    <t>为一个可以计算出TRUE或FALSE的逻辑值或逻辑表达式.</t>
  </si>
  <si>
    <t>如果逻辑值为FALSE,函数NOT返回TRUE；如果逻辑值为TRUE,函数NOT返回FALSE.</t>
  </si>
  <si>
    <t>在编年数</t>
  </si>
  <si>
    <t>=NOT(D218&gt;3)</t>
  </si>
  <si>
    <t>用来表示满足条件的逻辑值TRUE(真),返回值为TRUE.</t>
  </si>
  <si>
    <t>TRUE()</t>
  </si>
  <si>
    <t>除了可以做函数外,还可以用于在单元格或公式中只输入TRUE.</t>
  </si>
  <si>
    <t>1.可以直接在单元格或公式中键入值TRUE,而可以不使用此函数.函数TRUE主要用于与其他电子表格程序兼容.
2.当在括号"()"中指定参数时显示错误,使用函数时要注意确认不输入参数.</t>
  </si>
  <si>
    <t>=TRUE()</t>
  </si>
  <si>
    <t>返回逻辑值FALSE</t>
  </si>
  <si>
    <t>FALSE()</t>
  </si>
  <si>
    <t>1.可以直接在工作表或公式中输入文字FALSE,Microsoft Excel会自动将它解释成逻辑值FALSE.
2.当在括号"()"中指定参数时显示错误,使用函数时要注意确认不输入参数.</t>
  </si>
  <si>
    <t>在表格或数值数组的首列查找指定的数值,并由此返回表格或数组当前行中指定列处的数值.当比较值位于数据表首列时,可以使用函数VLOOKUP代替函数HLOOKUP.</t>
  </si>
  <si>
    <t>指定条件在指定区域直方向查找</t>
  </si>
  <si>
    <t>VLOOKUP(lookup_value,table_array,col_index_num,range_lookup)</t>
  </si>
  <si>
    <t>VLOOKUP(要查找的内容,搜索的区域,从查找区域首列开始到要找的内容的列数,指定是近似匹配还是精确匹配查找方式)</t>
  </si>
  <si>
    <t>Lookup_value</t>
  </si>
  <si>
    <t>为需要在数组第一列中查找的数值.Lookup_value可以为数值、引用或文本字符串.</t>
  </si>
  <si>
    <t>Table_array</t>
  </si>
  <si>
    <t>为需要在其中查找数据的数据表.可以使用对区域或区域名称的引用,例如数据库或列表.</t>
  </si>
  <si>
    <t>Col_index_num</t>
  </si>
  <si>
    <t>为table_array中待返回的匹配值的列序号.Col_index_num为1时,返回table_array第一列中的数值；col_index_num为2,返回table_array第二列中的数值,以此类推.如果col_index_num小于1,函数VLOOKUP返回错误值值#VALUE!；如果col_index_num大于table_array的列数,函数VLOOKUP返回错误值#REF!.</t>
  </si>
  <si>
    <t>Range_lookup</t>
  </si>
  <si>
    <t>为一逻辑值,指明函数VLOOKUP返回时是精确匹配还是近似匹配.如果为TRUE或省略,则返回近似匹配值.也就是说.如果找不到精确匹配值,则返回小于lookup_value的最大数值；如果range_value为FALSE,函数VLOOKUP将返回精确匹配值.如果找不到,则返回错误值#N/A.</t>
  </si>
  <si>
    <t>如果range_lookup为TRUE,则table_array的第一列中的数值必须按升序排列：…、-2、-1、0、1、2、…、-Z、FALSE、TRUE；否则,函数VLOOKUP不能返回正确的数值.如果range_lookup为FALSE,table_array不必进行排序.</t>
  </si>
  <si>
    <t>1.Table_array的第一列中的数值可以为文本、数字或逻辑值.
2.文本不区分大小写.
3.如果函数VLOOKUP找不到lookup_value,且range_lookup为TRUE,则使用小于等于lookup_value的最大值.
4.如果lookup_value小于table_array第一列中的最小数值,函数VLOOKUP返回错误值#N/A.
5.如果函数VLOOKUP找不到lookup_value且range_lookup为FALSE,函数VLOOKUP返回错误值#N/A.
6.若有多个符合条件的情况:vlookup返回的是第一个满足条件的值,lookup返回的是最后一个满足条件的值.</t>
  </si>
  <si>
    <t>精确查找适用于文本,也适用于数值；但对数值查找时须注意格式一致,否则会出错.</t>
  </si>
  <si>
    <t>注:因为"0"输入速度快,不易输错,本函数宝典里的此类公式精确搜索都是以"0"代替"false".</t>
  </si>
  <si>
    <t>查找左表单价</t>
  </si>
  <si>
    <t>=VLOOKUP(H26,B26:D34,3,0)</t>
  </si>
  <si>
    <t>H26:指定的条件</t>
  </si>
  <si>
    <t>B26:D34:包含品名与单价的区域</t>
  </si>
  <si>
    <t>3:在向右数第3列</t>
  </si>
  <si>
    <t>0:精确查找</t>
  </si>
  <si>
    <t>反向查找</t>
  </si>
  <si>
    <t>上表为例,以单价查找销售件数</t>
  </si>
  <si>
    <t>件数</t>
  </si>
  <si>
    <t>=VLOOKUP(C42,IF({1,0},D26:D36,C26:C36),2,0)</t>
  </si>
  <si>
    <t>在表格或数值数组的首行查找指定的数值,并由此返回表格或数组当前列中指定行处的数值.当比较值位于数据表的首行,并且要查找下面给定行中的数据时,请使用函数 HLOOKUP.当比较值位于要查找的数据左边的一列时,请使用函数 VLOOKUP.</t>
  </si>
  <si>
    <t>指定条件在指定区域横方向查找</t>
  </si>
  <si>
    <t>HLOOKUP(lookup_value,table_array,row_index_num,range_lookup)</t>
  </si>
  <si>
    <t>HLOOKUP((要查找的内容,搜索的区域,从查找区域首行开始到要找的内容的行数,指定是近似匹配还是精确匹配查找方式)</t>
  </si>
  <si>
    <t>为需要在数据表第一行中进行查找的数值.Lookup_value可以为数值、引用或文本字符串.</t>
  </si>
  <si>
    <t>为需要在其中查找数据的数据表.可以使用对区域或区域名称的引用.Table_array的第一行的数值可以为文本、数字或逻辑值.</t>
  </si>
  <si>
    <t>Row_index_num</t>
  </si>
  <si>
    <t>为table_array中待返回的匹配值的行序号.Row_index_num为1时,返回table_array第一行的数值,row_index_num为2时,返回table_array第二行的数值,以此类推.如果row_index_num小于1,函数HLOOKUP返回错误值#VALUE!；如果row_index_num大于table-array的行数,函数HLOOKUP返回错误值#REF!.</t>
  </si>
  <si>
    <t>为一逻辑值,指明函数HLOOKUP查找时是精确匹配,还是近似匹配.如果为TRUE或省略,则返回近似匹配值.也就是说,如果找不到精确匹配值,则返回小于lookup_value的最大数值.如果range_value为FALSE,函数HLOOKUP将查找精确匹配值,如果找不到,则返回错误值#N/A!.</t>
  </si>
  <si>
    <t>如果range_lookup为TRUE,则table_array的第一行的数值必须按升序排列:……-2、-1、0、1、2、……、A-Z、FALSE、TRUE；否则,函数HLOOKUP将不能给出正确的数值.如果range_lookup为FALSE,则table_array不必进行排序.</t>
  </si>
  <si>
    <t>1.文本不区分大小写.
2.如果函数HLOOKUP小于table_array第一行中的最小数值,函数HLOOKUP返回错误值#N/A!.
3.如果函数HLOOKUP找不到lookup_value,且range_lookup为TRUE,则使用小于lookup_value的最大值.</t>
  </si>
  <si>
    <t>员工编号</t>
  </si>
  <si>
    <t>A06011</t>
  </si>
  <si>
    <t>A06012</t>
  </si>
  <si>
    <t>A06013</t>
  </si>
  <si>
    <t>=HLOOKUP(G19,C18:E19,2,0)</t>
  </si>
  <si>
    <t>籍贯</t>
  </si>
  <si>
    <t>黑龙江</t>
  </si>
  <si>
    <t>北京</t>
  </si>
  <si>
    <t>浙江</t>
  </si>
  <si>
    <t>所属部门</t>
  </si>
  <si>
    <t>销售部</t>
  </si>
  <si>
    <t>后勤部</t>
  </si>
  <si>
    <t>(向量形式)(数组形式)搜索单行、单列、区域、查找对应值</t>
  </si>
  <si>
    <t>函数 LOOKUP 有两种语法形式：向量和数组。</t>
  </si>
  <si>
    <t>搜索单行、单列、区域、查找对应值</t>
  </si>
  <si>
    <t>向量形式LOOKUP(lookup_value,lookup_vector,result_vector)  数组形式LOOKUP(lookup_value,array)</t>
  </si>
  <si>
    <t>向量形式LOOKUP(条件,含条件的搜索区域,对应的搜索区域)  数组形式LOOKUP(条件,搜索的区域)</t>
  </si>
  <si>
    <t>参数定义:向量</t>
  </si>
  <si>
    <t>为函数LOOKUP在第一个向量中所要查找的数值.Lookup_value可以为数字、文本、逻辑值或包含数值的名称或引用</t>
  </si>
  <si>
    <t>Lookup_vector</t>
  </si>
  <si>
    <t>为只包含一行或一列的区域.Lookup_vector的数值可以为文本、数字或逻辑值</t>
  </si>
  <si>
    <t>Result_vector</t>
  </si>
  <si>
    <t>只包含一行或一列的区域,其大小必须与lookup_vector相同.</t>
  </si>
  <si>
    <t>参数定义:数组</t>
  </si>
  <si>
    <t>为函数LOOKUP在数组中所要查找的数值.Lookup_value可以为数字、文本、逻辑值或包含数值的名称或引用.</t>
  </si>
  <si>
    <t>为包含文本、数字或逻辑值的单元格区域,它的值用于与lookup_value进行比较.</t>
  </si>
  <si>
    <t>要点：
向量形式</t>
  </si>
  <si>
    <t>1.向量为只包含一行或一列的区域.函数LOOKUP的向量形式是在单行区域或单列区域(向量)中查找数值,然后返回第二个单行区域或单列区域中相同位置的数值.如果需要指定包含待查找数值的区域,则可以使用函数LOOKUP的这种形式.函数LOOKUP的另一种形式为自动在第一列或第一行中查找数值.
2.函数LOOKUP的数组形式是在数组的第一行或第一列中查找指定数值,然后返回最后一行或最后一列中相同位置处的数值.如果需要查找的数值在数组的第一行或第一列,就可以使用函数LOOKUP的这种形式.当需要指定列或行的位置时,可以使用函数LOOKUP的其他形式.
3.Lookup_vector的数值必须按升序排序：...、-2、-1、0、1、2、...、A-Z、FALSE、TRUE；否则,函数LOOKUP不能返回正确的结果.文本不区分大小写.
4.如果lookup_value小于lookup_vector中的最小值,函数LOOKUP返回错误值#N/A.
5.如果函数LOOKUP找不到lookup_value,则查找lookup_vector中小于或等于lookup_value的最大数值.</t>
  </si>
  <si>
    <t>要点：
数组形式</t>
  </si>
  <si>
    <t>1.如果函数LOOKUP找不到lookup_value,则使用数组中小于或等于lookup_value的最大数值.
2.如果lookup_value小于第一行或第一列(取决于数组的维数)的最小值,函数LOOKUP返回错误值#N/A.
3.函数LOOKUP的数组形式与函数HLOOKUP和函数VLOOKUP非常相似.不同之处在于函数HLOOKUP在第一行查找lookup_value,函数VLOOKUP在第一列查找,而函数LOOKUP则按照数组的维数查找.
4.如果数组为正方形,或者所包含的区域高度大,宽度小(即行数多于列数),函数LOOKUP在第一列查找lookup_value.
5.函数HLOOKUP和函数VLOOKUP允许按行或按列索引,而函数LOOKUP总是选择行或列的最后一个数值.
6.数组中的数值必须按升序排序：...、-2、-1、0、1、2、...、A-Z、FALSE、TRUE；否则,函数LOOKUP不能返回正确的结果.文本不区分大小写.</t>
  </si>
  <si>
    <t>1.若有多个符合条件的情况:vlookup返回的是第一个满足条件的值,lookup返回的是最后一个满足条件的值.
2.通常情况下,最好使用函数HLOOKUP或函数VLOOKUP来替代函数LOOKUP的数组形式.函数LOOKUP的这种形式主要用于与其他电子表格兼容.</t>
  </si>
  <si>
    <t>向量形式</t>
  </si>
  <si>
    <t>元旦销售</t>
  </si>
  <si>
    <t>=LOOKUP(I23,B23:B32,G23:G32)</t>
  </si>
  <si>
    <t>数组形式(上表数据引用)</t>
  </si>
  <si>
    <t>=LOOKUP(B39,B23:G32)</t>
  </si>
  <si>
    <t>返回在指定方式下与指定数值匹配的数组中元素的相应位置.如果需要找出匹配元素的位置而不是匹配元素本身,则应该使用MATCH函数而不是 LOOKUP函数.</t>
  </si>
  <si>
    <t>查找条件在查找区域里的什么位置</t>
  </si>
  <si>
    <t>MATCH(lookup_value,lookup_array,match_type)</t>
  </si>
  <si>
    <t>MATCH(查找条件,查找区域,查找方式)</t>
  </si>
  <si>
    <t>为需要在数据表中查找的数值.为需要在Look_array中查找的数值.可以为数值(数字、文本或逻辑值)或对数字、文本或逻辑值的单元格引用.</t>
  </si>
  <si>
    <t>Lookup_array</t>
  </si>
  <si>
    <t>可能包含所要查找的数值的连续单元格区域.Lookup_array应为数组或数组引用.</t>
  </si>
  <si>
    <t>Match_type</t>
  </si>
  <si>
    <t>为数字-1、0或1.Match-type指明MicrosoftExcel如何在lookup_array中查找lookup_value.</t>
  </si>
  <si>
    <t>函数MATCH返回lookup_array中目标值的位置,而不是数值本身.例如,MATCH("b",{"a","b","c"},0)返回2,即“b”在数组{"a","b","c"}中的相应位置.</t>
  </si>
  <si>
    <t>1.如果match_type为1,函数MATCH查找小于或等于lookup_value的最大数值.Lookup_array必须按升序排列：...、-2、-1、0、1、2、...、A-Z、FALSE、TRUE.
2.如果match_type为0,函数MATCH查找等于lookup_value的第一个数值.Lookup_array可以按任何顺序排列.
3.如果match_type为-1,函数MATCH查找大于或等于lookup_value的最小数值.Lookup_array必须按降序排列：TRUE、FALSE、Z-A、...、2、1、0、-1、-2、...,等等.
4.如果省略match_type,则假设为1.
5.查找文本值时,函数MATCH不区分大小写字母.
6.如果函数MATCH查找不成功,则返回错误值#N/A.
7.如果match_type为0且lookup_value为文本,lookup_value可以包含通配符、星号(*)和问号(?).星号可以匹配任何字符序列；问号可以匹配单个字符.</t>
  </si>
  <si>
    <t>对应位置说明</t>
  </si>
  <si>
    <t>位置</t>
  </si>
  <si>
    <t>=MATCH(F20,B20:B29,1)</t>
  </si>
  <si>
    <t>以指定的引用为参照系,通过给定偏移量得到新的引用.返回的引用可以为一个单元格或单元格区域.并可以指定返回的行数或列数.</t>
  </si>
  <si>
    <t>OFFSET(reference,rows,cols,height,width)</t>
  </si>
  <si>
    <t>OFFSET(起始坐标,从坐标开始算的行数,从坐标开始算的列数,高,宽)</t>
  </si>
  <si>
    <t>Reference</t>
  </si>
  <si>
    <t>作为偏移量参照系的引用区域.Reference必须为对单元格或相连单元格区域的引用；否则,函数OFFSET返回错误值#VALUE!.</t>
  </si>
  <si>
    <t>Rows</t>
  </si>
  <si>
    <t>相对于偏移量参照系的左上角单元格,上(下)偏移的行数.如果使用5作为参数Rows,则说明目标引用区域的左上角单元格比reference低5行.行数可为正数(代表在起始引用的下方)或负数(代表在起始引用的上方).</t>
  </si>
  <si>
    <t>Cols</t>
  </si>
  <si>
    <t>相对于偏移量参照系的左上角单元格,左(右)偏移的列数.如果使用5作为参数Cols,则说明目标引用区域的左上角的单元格比reference靠右5列.列数可为正数(代表在起始引用的右边)或负数(代表在起始引用的左边).</t>
  </si>
  <si>
    <t>Height</t>
  </si>
  <si>
    <t>高度,即所要返回的引用区域的行数.Height必须为正数.</t>
  </si>
  <si>
    <t>Width</t>
  </si>
  <si>
    <t>宽度,即所要返回的引用区域的列数.Width必须为正数.</t>
  </si>
  <si>
    <t>1.如果行数和列数偏移量超出工作表边缘,函数OFFSET返回错误值#REF!.
2.如果省略height或width,则假设其高度或宽度与reference相同.
3.函数OFFSET实际上并不移动任何单元格或更改选定区域,它只是返回一个引用.函数OFFSET可用于任何需要将引用作为参数的函数.例如,公式SUM(OFFSET(C2,1,2,3,1))将计算比单元格C2靠下1行并靠右2列的3行1列的区域的总值.</t>
  </si>
  <si>
    <t>每男每女家居生活馆 销售表</t>
  </si>
  <si>
    <t>=OFFSET(B21,6,2)</t>
  </si>
  <si>
    <t>说明:</t>
  </si>
  <si>
    <t>B21:为起始坐标</t>
  </si>
  <si>
    <t>6:从坐标开始算的行数</t>
  </si>
  <si>
    <t>2:从坐标开始算的列数</t>
  </si>
  <si>
    <t>=SUM(OFFSET(B21,6,2,1,2))</t>
  </si>
  <si>
    <t>返回列表或数组中的元素值,此元素由行序号和列序号的索引值给定.</t>
  </si>
  <si>
    <t>INDEX(array,row_num,column_num)</t>
  </si>
  <si>
    <t>INDEX(单元格区域或数组常量,行序号,列序号)</t>
  </si>
  <si>
    <t>为单元格区域或数组常量.如果数组只包含一行或一列,则相对应的参数row_num或column_num为可选.如果数组有多行和多列,但只使用row_num或column_num,函数INDEX返回数组中的整行或整列,且返回值也为数组.</t>
  </si>
  <si>
    <t>Row_num</t>
  </si>
  <si>
    <t>数组中某行的行序号,函数从该行返回数值.如果省略row_num,则必须有column_num.</t>
  </si>
  <si>
    <t>Column_num</t>
  </si>
  <si>
    <t>数组中某列的列序号,函数从该列返回数值.如果省略column_num,则必须有row_num.</t>
  </si>
  <si>
    <t>1.INDEX函数有两种语法形式：数组和引用.数组形式通常返回数值或数值数组,引用形式通常返回引用.当函数INDEX的第一个参数为数组常数时,使用数组形式.
2.此处的行序号参数(row_num)和列序号参数(column_num)是相对于所引用的单元格区域而言的,不是Excel工作表中的行或列序号.</t>
  </si>
  <si>
    <t>1.如果同时使用row_num和column_num,函数INDEX返回row_num和column_num交叉处的单元格的数值.
2.如果将row_num或column_num设置为0,函数INDEX则分别返回整个列或行的数组数值.若要使用以数组形式返回的值,请将INDEX函数以数组公式形式输入,对于行以水平单元格区域的形式输入,对于列以垂直单元格区域的形式输入.若要输入数组公式,请按Ctrl+Shift+Enter.
3.Row_num和column_num必须指向array中的某一单元格；否则,函数INDEX返回错误值#REF!.</t>
  </si>
  <si>
    <t>＞＞＞＞＞函数应用实例＜＜＜＜＜</t>
  </si>
  <si>
    <t>返回指定的行与列交叉处的单元格引用.数组形式通常返回数值或数值数组；引用形式通常返回引用.如果引用由不连续的选定区域组成,可以选择某一连续区域.</t>
  </si>
  <si>
    <t>行和列交差位置的单元格引用</t>
  </si>
  <si>
    <t>引用形式INDEX(reference,row_num,column_num,area_num)</t>
  </si>
  <si>
    <t>引用形式INDEX(对一个或多个单元格区域的引用,行序号,列序号,选择引用中的一个区域)</t>
  </si>
  <si>
    <t>对一个或多个单元格区域的引用,如果为引用输入一个不连续的区域,必须用括号括起来.如果引用中的每个区域只包含一行或一列,则相应的参数row_num或column_num分别为可选项.例如,对于单行的引用,可以使用函数INDEX(reference,,column_num).</t>
  </si>
  <si>
    <t>引用中某行的行序号,函数从该行返回一个引用.</t>
  </si>
  <si>
    <t>引用中某列的列序号,函数从该列返回一个引用.</t>
  </si>
  <si>
    <t>Area_num</t>
  </si>
  <si>
    <t>选择引用中的一个区域,并返回该区域中row_num和column_num的交叉区域.选中或输入的第一个区域序号为1,第二个为2,以此类推.如果省略area_num,函数INDEX使用区域1.</t>
  </si>
  <si>
    <t>1.在通过reference和area_num选择了特定的区域后,row_num和column_num将进一步选择指定的单元格：row_num1为区域的首行,column_num1为首列,以此类推.函数INDEX返回的引用即为row_num和column_num的交叉区域.
2.如果将row_num或column_num设置为0,函数INDEX分别返回对整个列或行的引用.
3.Row_num、column_num和area_num必须指向reference中的单元格；否则,函数INDEX返回错误值#REF!.如果省略row_num和column_num,函数INDEX返回由area_num所指定的区域.
4.函数INDEX的结果为一个引用,且在其他公式中也被解释为引用.根据公式的需要,函数INDEX的返回值可以作为引用或是数值.例如,公式CELL("width",INDEX(A1:B2,1,2))等价于公式CELL("width",B1).CELL函数将函数INDEX的返回值作为单元格引用.而在另一方面,公式2*INDEX(A1:B2,1,2)将函数INDEX的返回值解释为B1单元格中的数字.</t>
  </si>
  <si>
    <t>=INDEX((B120:D128,G120:H121),2,2,2)</t>
  </si>
  <si>
    <t>返回由文本字符串指定的引用.此函数立即对引用进行计算,并显示其内容.</t>
  </si>
  <si>
    <t>INDIRECT(ref_text,a1)</t>
  </si>
  <si>
    <t>INDIRECT(目标单元格,a1)</t>
  </si>
  <si>
    <t>Ref_text</t>
  </si>
  <si>
    <t>为对单元格的引用,此单元格可以包含A1-样式的引用、R1C1-样式的引用、定义为引用的名称或对文本字符串单元格的引用.</t>
  </si>
  <si>
    <t>A1</t>
  </si>
  <si>
    <t>为一逻辑值,指明包含在单元格ref_text中的引用的类型.</t>
  </si>
  <si>
    <t>当需要更改公式中单元格的引用,而不更改公式本身,请使用函数INDIRECT.</t>
  </si>
  <si>
    <t>1.如果ref_text不是合法的单元格的引用,函数INDIRECT返回错误值#REF!.
2.如果ref_text是对另一个工作簿的引用(外部引用),则那个工作簿必须被打开.如果源工作簿没有打开,函数INDIRECT返回错误值#REF!.
3.如果a1为FALSE,ref_text被解释为R1C1-样式的引用.
4.如果a1为TRUE或省略,ref_text被解释为A1-样式的引用.</t>
  </si>
  <si>
    <t>被引用单元格</t>
  </si>
  <si>
    <t>=INDIRECT("B17")</t>
  </si>
  <si>
    <t>可以使用index_num返回数值参数列表中的数值.使用函数CHOOSE可以基于索引号返回多达29个基于indexnumber待选数值中的任一数值.例如,如果数值1到7表示一个星期的7天,当用1到7之间的数字作index_num时,函数CHOOSE返回其中的某一天.</t>
  </si>
  <si>
    <t>CHOOSE(index_num,value1,value2,...)</t>
  </si>
  <si>
    <t>CHOOSE(指定区域的第几个,指定区域1,指定区域2,……)</t>
  </si>
  <si>
    <t>Index_num</t>
  </si>
  <si>
    <t>用以指明待选参数序号的参数值.Index_num必须为1到29之间的数字、或者是包含数字1到29的公式或单元格引用.</t>
  </si>
  <si>
    <t>1.如果index_num为1,函数CHOOSE返回value1；如果为2,函数CHOOSE返回value2,以此类推.
2.如果index_num小于1或大于列表中最后一个值的序号,函数CHOOSE返回错误值#VALUE!.
3.如果index_num为小数,则在使用前将被截尾取整.
4.Value1,value2,……为1到29个数值参数,函数CHOOSE基于index_num,从中选择一个数值或执行相应的操作.参数可以为数字、单元格引用、已定义的名称、公式、函数或文本.
5.如果index_num为一个数组,则在函数CHOOSE计算时,每一个值都将计算.
6.函数CHOOSE的数值参数不仅可以为单个数值,也可以为区域引用.</t>
  </si>
  <si>
    <t>1日</t>
  </si>
  <si>
    <t>2日</t>
  </si>
  <si>
    <t>=CHOOSE(F117,C117,C118,C119,C120)</t>
  </si>
  <si>
    <t>3日</t>
  </si>
  <si>
    <t>4日</t>
  </si>
  <si>
    <t>返回给定引用的列标</t>
  </si>
  <si>
    <t>查找在第几列</t>
  </si>
  <si>
    <t>COLUMN(reference)</t>
  </si>
  <si>
    <t>COLUMN(目标单元格)</t>
  </si>
  <si>
    <t>reference</t>
  </si>
  <si>
    <t>指定单元格引用或单元格区域的引用.当指定了单元格区域的引用时,位于左上角的单元格的列序号构成返回值.</t>
  </si>
  <si>
    <t>如果省略区域,输入"=COLUMN()"时,输入COLUMN函数的单元格的列序号就是函数的返回值.</t>
  </si>
  <si>
    <t>1.如果reference为一个单元格区域,并且函数COLUMN作为水平数组输入,则函数COLUMN将reference中的列标以水平数组的形式返回.
2.Reference不能引用多个区域.</t>
  </si>
  <si>
    <t>=COLUMN(B17)</t>
  </si>
  <si>
    <t>说明:计算出在第几列开始</t>
  </si>
  <si>
    <t>=COLUMN(C18:D18)</t>
  </si>
  <si>
    <t>=COLUMN(D19)</t>
  </si>
  <si>
    <t>=COLUMN(C20)</t>
  </si>
  <si>
    <t>=COLUMN()</t>
  </si>
  <si>
    <t>说明:不输入参数,即指函数本身所在的列.</t>
  </si>
  <si>
    <t>返回引用的行号.</t>
  </si>
  <si>
    <t>查找在第几行</t>
  </si>
  <si>
    <t>ROW(reference)</t>
  </si>
  <si>
    <t>ROW(目标单元格)</t>
  </si>
  <si>
    <t>为需要得到其行号的单元格或单元格区域.</t>
  </si>
  <si>
    <t>1.如果省略reference,则假定是对函数ROW所在单元格的引用.
2.Reference不能引用多个区域.
3.如果reference为一个单元格区域,并且函数ROW作为垂直数组输入,则函数ROW将reference的行号以垂直数组的形式返回.</t>
  </si>
  <si>
    <t>左边公式</t>
  </si>
  <si>
    <t>=ROW(B116:D116)</t>
  </si>
  <si>
    <t>查本颜色</t>
  </si>
  <si>
    <t>=ROW(B117:B118)</t>
  </si>
  <si>
    <t>=ROW(C119)</t>
  </si>
  <si>
    <t>=ROW(D119)</t>
  </si>
  <si>
    <t>在数组中的使用</t>
  </si>
  <si>
    <t>={1;2;3;4;5;6;7;8;9;10}</t>
  </si>
  <si>
    <t>说明高手在公式中用的ROW(1:10)其实就是我们也能偶尔见到的={1;2;3;4;5;6;7;8;9;10}.</t>
  </si>
  <si>
    <t>这就是数组</t>
  </si>
  <si>
    <t>=SUM(ROW(1:10))</t>
  </si>
  <si>
    <t>我们得到的是"1"</t>
  </si>
  <si>
    <t>{=SUM(ROW(1:10)}</t>
  </si>
  <si>
    <t>加入PRODUCT函数</t>
  </si>
  <si>
    <t>{=PRODUCT(ROW(1:10))}</t>
  </si>
  <si>
    <t>PRODUCT函数是求参数的乘积.相当于:=1*2*3*4*5*6*7*8*9*10,所以结果是3628800.</t>
  </si>
  <si>
    <t>按照给定的行号和列标,建立文本类型的单元格地址.</t>
  </si>
  <si>
    <t>ADDRESS(row_num,column_num,abs_num,a1,sheet_text)</t>
  </si>
  <si>
    <t>ADDRESS(第几行,第几列,引用类型,工作表名称)</t>
  </si>
  <si>
    <t>在单元格引用中使用的行号.</t>
  </si>
  <si>
    <t>在单元格引用中使用的列标.</t>
  </si>
  <si>
    <t>Abs_num</t>
  </si>
  <si>
    <t>指定返回的引用类型.</t>
  </si>
  <si>
    <t>用以指定A1或R1C1引用样式的逻辑值.如果A1为TRUE或省略,函数ADDRESS返回A1样式的引用；如果A1为FALSE,函数ADDRESS返回R1C1样式的引用.</t>
  </si>
  <si>
    <t>Sheet_text</t>
  </si>
  <si>
    <t>为一文本,指定作为外部引用的工作表的名称,如果省略sheet_text,则不使用任何工作表名.</t>
  </si>
  <si>
    <t>Abs_num返回的引用类型
1或省略:绝对引用;
2:绝对行号,相对列标;
3:相对行号,绝对列标;
4:相对引用.</t>
  </si>
  <si>
    <t>行</t>
  </si>
  <si>
    <t>列</t>
  </si>
  <si>
    <t>=ADDRESS($B$222,$C$222,1)</t>
  </si>
  <si>
    <t>绝对引用</t>
  </si>
  <si>
    <t>=ADDRESS($B$222,$C$222,2)</t>
  </si>
  <si>
    <t>绝对行号</t>
  </si>
  <si>
    <t>=ADDRESS($B$222,$C$222,3)</t>
  </si>
  <si>
    <t>绝对列号</t>
  </si>
  <si>
    <t>=ADDRESS($B$222,$C$222,4)</t>
  </si>
  <si>
    <t>相对引用</t>
  </si>
  <si>
    <t>返回给定引用的列标.</t>
  </si>
  <si>
    <t>数几列</t>
  </si>
  <si>
    <t>COLUMNS(reference)</t>
  </si>
  <si>
    <t>COLUMNS(单元格或一个单元格区域)</t>
  </si>
  <si>
    <t>为需要得到其列标的单元格或单元格区域.</t>
  </si>
  <si>
    <t>1.如果省略reference,则假定为是对函数COLUMN所在单元格的引用.
2.如果reference为一个单元格区域,并且函数COLUMN作为水平数组输入,则函数COLUMN将reference中的列标以水平数组的形式返回.
3.Reference不能引用多个区域.</t>
  </si>
  <si>
    <t>=COLUMNS(B18:I19)</t>
  </si>
  <si>
    <t>说明:从B到I共8列</t>
  </si>
  <si>
    <t>返回引用或数组的行数.</t>
  </si>
  <si>
    <t>数几行</t>
  </si>
  <si>
    <t>ROWS(array)</t>
  </si>
  <si>
    <t>ROWS(单元格或一个单元格区域)</t>
  </si>
  <si>
    <t>为需要得到其行数的数组、数组公式或对单元格区域的引用.</t>
  </si>
  <si>
    <t>=ROWS(B117:C124)</t>
  </si>
  <si>
    <t>说明:从117到124共8行</t>
  </si>
  <si>
    <t>返回引用中包含的区域个数.区域表示连续的单元格区域或某个单元格.</t>
  </si>
  <si>
    <t>数有几个区域</t>
  </si>
  <si>
    <t>AREAS(reference)</t>
  </si>
  <si>
    <t>AREAS(一个或多个区域)</t>
  </si>
  <si>
    <t>对某个单元格或单元格区域的引用,也可以引用多个区域.</t>
  </si>
  <si>
    <t>如果需要将几个引用指定为一个参数,则必须用括号括起来,以免MicrosoftExcel将逗号作为参数间的分隔符.</t>
  </si>
  <si>
    <t>=AREAS(B215:D223)</t>
  </si>
  <si>
    <t>引用中包含的区域个数 (1)</t>
  </si>
  <si>
    <t>=AREAS((B215:B218,C219,D220:D223))</t>
  </si>
  <si>
    <t>引用中包含的区域个数 (3)</t>
  </si>
  <si>
    <t>=AREAS(B215:D223 C219)</t>
  </si>
  <si>
    <t>创建一个快捷方式（跳转）,用以打开存储在网络服务器、Intranet或Internet中的文件.当单击函数HYPERLINK所在的单元格时,MicrosoftExecl将打开存储在link_location中的文件.</t>
  </si>
  <si>
    <t>建立链接或跳转</t>
  </si>
  <si>
    <t>HYPERLINK(link_location,friendly_name)</t>
  </si>
  <si>
    <t>HYPERLINK(目标地址或单元格引用,显示说明或单元格引用)</t>
  </si>
  <si>
    <t>Link_location</t>
  </si>
  <si>
    <t>为文档的路径和文件名,此文档可以作为文本打开.Link_location还可以指向文档中的某个更为具体的位置,如Execl工作表或工作簿中特定的单元格或命名区域,或是指向MicrosoftWord文档中的书签.路径可以是存储在硬盘驱动器上的文件,或是服务器（在MicrosoftExcelforWindows中）上的“通用命名规范”(UNC)路径,或是在Internet或Intranet上的“统一资源定位符”(URL)路径.</t>
  </si>
  <si>
    <t>可以为括在引号中的文本字符串,或是包含文本字符串链接的单元格.</t>
  </si>
  <si>
    <t>Friendly_name</t>
  </si>
  <si>
    <t>为单元格中显示的跳转文本值或数字值.单元格的内容为蓝色并带有下划线.如果省略Friendly_name,单元格将link_location显示为跳转文本.</t>
  </si>
  <si>
    <t>1.如果在link_location中指定的跳转不存在或不能访问,则当单击单元格时将出现错误信息.
2.Friendly_name可以为数值、文本字符串、名称或包含跳转文本或数值的单元格.
3.如果Friendly_name返回错误值（例如,#VALUE!）,单元格将显示错误值以替代跳转文本.
4.若要选定一个包含超链接的单元格并且不跳往超链接的目标文件,请单击单元格区域并按住鼠标按钮直到光标变成一个十字,然后释放鼠标按钮.</t>
  </si>
  <si>
    <t>链接网页</t>
  </si>
  <si>
    <t>=HYPERLINK("http://blog.sina.com.cn/excelbd",B18)</t>
  </si>
  <si>
    <t>链接工作表和单元格链接</t>
  </si>
  <si>
    <t>目录</t>
  </si>
  <si>
    <t>链接到本文本目录页面的A172单元格</t>
  </si>
  <si>
    <t>=HYPERLINK("#"&amp;B21&amp;"!A172","跳转至目录")</t>
  </si>
  <si>
    <t>本页页首</t>
  </si>
  <si>
    <t>链接到本页面的A1单元格</t>
  </si>
  <si>
    <t>=HYPERLINK("#A1",B22)</t>
  </si>
  <si>
    <t>说明:#为数字占位符</t>
  </si>
  <si>
    <t>文件链接</t>
  </si>
  <si>
    <t>下面的链接打不开是因为你的电脑里没有这文件,请更正地址与文件名后再试.</t>
  </si>
  <si>
    <t>地址</t>
  </si>
  <si>
    <t>文件名</t>
  </si>
  <si>
    <t>建立链接</t>
  </si>
  <si>
    <t>D:\A.XLS</t>
  </si>
  <si>
    <t>A</t>
  </si>
  <si>
    <t>=HYPERLINK(B27,C27)</t>
  </si>
  <si>
    <t>I:\函数大全.XLS</t>
  </si>
  <si>
    <t>函数大全</t>
  </si>
  <si>
    <t>=HYPERLINK(B28,C28)</t>
  </si>
  <si>
    <t>返回转置单元格区域</t>
  </si>
  <si>
    <t>行和列的内容对调</t>
  </si>
  <si>
    <t>TRANSPOSE(array)</t>
  </si>
  <si>
    <t>TRANSPOSE(需要进行转置单元格区域)</t>
  </si>
  <si>
    <t>为需要进行转置的数组或工作表中的单元格区域.所谓数组的转置就是,将数组的第一行作为新数组的第一列,数组的第二行作为新数组的第二列,以此类推.</t>
  </si>
  <si>
    <t>返回转置单元格区域,即将一行单元格区域转置成一列单元格区域,反之亦然.在行列数分别与数组的行列数相同的区域中,必须将TRANSPOSE输入为数组公式.使用TRANSPOSE可在工作表中转置数组的垂直和水平方向.</t>
  </si>
  <si>
    <t>{=TRANSPOSE(B18:C25)}</t>
  </si>
  <si>
    <t>从支持COM自动化的程序中获取实时的数据.</t>
  </si>
  <si>
    <t>RTD(ProgID,server,topic1,[topic2],...)</t>
  </si>
  <si>
    <t>RTD(ProgID,server,topic1,[topic3],...)</t>
  </si>
  <si>
    <t>ProgID</t>
  </si>
  <si>
    <t>已安装在本地计算机上、经过注册的COM自动化加载宏的ProgID名称,该名称用引号引起来.</t>
  </si>
  <si>
    <t>server</t>
  </si>
  <si>
    <t>运行加载宏的服务器的名称.</t>
  </si>
  <si>
    <t>topic1,topic2,……为1到28个参数,这些参数放在一起代表一个唯一的实时数据.</t>
  </si>
  <si>
    <t>1.运行加载宏的服务器的名称.如果没有服务器,程序是在本地计算机上运行,那么该参数为空白.否则,用引号("")将服务器的名称引起来.如果在VisualBasicforApplications(VBA)中使用RTD,则必须用双重引号将服务器名称引起来,或对其赋予VBANullString属性,即使该服务器在本地计算机上运行.
2.必须在本地计算机上创建并注册RTDCOM自动化加载宏.如果未安装实时数据服务器,则在试图使用RTD函数时将在单元格中出现一则错误消息.如果服务器继续更新结果,那么与其他函数不同,RTD公式将在MicrosoftExcel处于自动计算模式下进行更改.</t>
  </si>
  <si>
    <t>无法运行,故不设例题.</t>
  </si>
  <si>
    <t>将全角字符(双字节字符)转换成半角字符(单字节字符)</t>
  </si>
  <si>
    <t>将全角(双字节)字符更改为半角(单字节)字符</t>
  </si>
  <si>
    <t>全角换成半角</t>
  </si>
  <si>
    <t>ASC(text)</t>
  </si>
  <si>
    <t>ASC(目标单元格或文本)</t>
  </si>
  <si>
    <t>Text</t>
  </si>
  <si>
    <t>为文本或对包含要更改文本的单元格的引用.如果文本中不包含任何全角字母，则文本不会更改.</t>
  </si>
  <si>
    <t>ASC(B16)</t>
  </si>
  <si>
    <t>可将字符串中的半角(单字节)字母转换为全角(双字节)字符.</t>
  </si>
  <si>
    <t>半角换成全角</t>
  </si>
  <si>
    <t>WIDECHAR(text)</t>
  </si>
  <si>
    <t>WIDECHAR(目标单元格或文本)</t>
  </si>
  <si>
    <t>为文本或对包含要更改文本的单元格的引用.如果文本中不包含任何半角英文字母或片假名,则文本不会更改.</t>
  </si>
  <si>
    <t>本"帮助"主题中描述的函数.函数的名称及其转换的字符取决于您的语言设置.对于日文,该函数将字符串中的半角(单字节)英文字母或片假名更改为全角(双字节)字符.</t>
  </si>
  <si>
    <t>=WIDECHAR(B16)</t>
  </si>
  <si>
    <t>英文字母小写换成大写</t>
  </si>
  <si>
    <t>UPPER(text)</t>
  </si>
  <si>
    <t>UPPER(目标单元格或文本)</t>
  </si>
  <si>
    <t>为需要转换成大写形式的文本.</t>
  </si>
  <si>
    <t>Text可以为引用或文本字符串.</t>
  </si>
  <si>
    <t>AAAaaa</t>
  </si>
  <si>
    <t>=UPPER(B17)</t>
  </si>
  <si>
    <t>=UPPER("aaa")</t>
  </si>
  <si>
    <t>AAA</t>
  </si>
  <si>
    <t>AAA每男每女</t>
  </si>
  <si>
    <t>aaa每男每女</t>
  </si>
  <si>
    <t>将一个文本字符串中的所有大写字母转换为小写字母.</t>
  </si>
  <si>
    <t>英文字母大写换成小写</t>
  </si>
  <si>
    <t>LOWER(text)</t>
  </si>
  <si>
    <t>LOWER(目标单元格或文本)</t>
  </si>
  <si>
    <t>是要转换为小写字母的文本.函数LOWER不改变文本中的非字母的字符.</t>
  </si>
  <si>
    <t>=LOWER(B117)</t>
  </si>
  <si>
    <t>=LOWER("AAA")</t>
  </si>
  <si>
    <t>将文本字符串的首字母及任何非字母字符之后的首字母转换成大写.将其余的字母转换成小写.</t>
  </si>
  <si>
    <t>把英文单词的第一个字母换成大字,其余的换成小字</t>
  </si>
  <si>
    <t>PROPER(text)</t>
  </si>
  <si>
    <t>PROPER(目标单元格或文本)</t>
  </si>
  <si>
    <t>包括在一组双引号中的文本字符串、返回文本值的公式或是对包含文本的单元格的引用.</t>
  </si>
  <si>
    <t>AAAaaa BBBbbb</t>
  </si>
  <si>
    <t>=PROPER(B217)</t>
  </si>
  <si>
    <t>=PROPER("AAA")</t>
  </si>
  <si>
    <t>将代表数字的文本字符串转换成数字.</t>
  </si>
  <si>
    <t>VALUE(text)</t>
  </si>
  <si>
    <t>VALUE(目标单元格)</t>
  </si>
  <si>
    <t>为带引号的文本,或对需要进行文本转换的单元格的引用.</t>
  </si>
  <si>
    <t>1.Text可以是MicrosoftExcel中可识别的任意常数、日期或时间格式.如果Text不为这些格式,则函数VALUE返回错误值#VALUE!.
2.通常不需要在公式中使用函数VALUE,Excel可以自动在需要时将文本转换为数字.提供此函数是为了与其他电子表格程序兼容.</t>
  </si>
  <si>
    <t>类型</t>
  </si>
  <si>
    <t>参数中指定的文本</t>
  </si>
  <si>
    <t>=VALUE(C18)</t>
  </si>
  <si>
    <t>时间</t>
  </si>
  <si>
    <t>=VALUE(C19)</t>
  </si>
  <si>
    <t>百分比</t>
  </si>
  <si>
    <t>=VALUE(C20)</t>
  </si>
  <si>
    <t>货币符号</t>
  </si>
  <si>
    <t>=VALUE(C21)</t>
  </si>
  <si>
    <t>=VALUE(C22)</t>
  </si>
  <si>
    <t>分数</t>
  </si>
  <si>
    <t>=VALUE(C23)</t>
  </si>
  <si>
    <t>=VALUE(C24)</t>
  </si>
  <si>
    <t>文本</t>
  </si>
  <si>
    <t>=VALUE(C25)</t>
  </si>
  <si>
    <t>文本显示的数值</t>
  </si>
  <si>
    <t>200</t>
  </si>
  <si>
    <t>=VALUE(C26)</t>
  </si>
  <si>
    <t>统计文本字符串中字符数目(计算文本的长度)</t>
  </si>
  <si>
    <t>返回文本字符串中的字符数</t>
  </si>
  <si>
    <t>统计单元格中有几个字与符号</t>
  </si>
  <si>
    <t>LEN(text)</t>
  </si>
  <si>
    <t>LEN(目标单元格)</t>
  </si>
  <si>
    <t>是要查找其长度的文本.空格将作为字符进行计数.</t>
  </si>
  <si>
    <t>=LEN(B117)</t>
  </si>
  <si>
    <t>美男美女888</t>
  </si>
  <si>
    <t>=LEN(B118)</t>
  </si>
  <si>
    <t>美男美女AAA</t>
  </si>
  <si>
    <t>=LEN(B119)</t>
  </si>
  <si>
    <t>美男美女A,12</t>
  </si>
  <si>
    <t>=LEN(B120)</t>
  </si>
  <si>
    <t>美男美女A  13</t>
  </si>
  <si>
    <t>=LEN(B121)</t>
  </si>
  <si>
    <t>说明:A后面两个空格</t>
  </si>
  <si>
    <t>返回文本字符串中用于代表字符的字节数.此函数用于双字节字符.</t>
  </si>
  <si>
    <t>LENB(text)</t>
  </si>
  <si>
    <t>LENB(目标单元格)</t>
  </si>
  <si>
    <t>LENB大至同于LEN,请参考LEN.</t>
  </si>
  <si>
    <t>将几个文本字符串合并为一个文本字符串.</t>
  </si>
  <si>
    <t>文本组合</t>
  </si>
  <si>
    <t>CONCATENATE(text1,text2,……)</t>
  </si>
  <si>
    <t>CONCATENATE(目标单元格或加引号的文本1,目标单元格或加引号的文本2,……)</t>
  </si>
  <si>
    <t>为1到30个将要合并成单个文本项的文本项.这些文本项可以为文本字符串、数字或对单个单元格的引用.</t>
  </si>
  <si>
    <t>也可以用&amp;（和号）运算符代替函数CONCATENATE实现文本项的合并.</t>
  </si>
  <si>
    <t>美男美女</t>
  </si>
  <si>
    <t>=CONCATENATE(B320,D320)</t>
  </si>
  <si>
    <t>美男美女A</t>
  </si>
  <si>
    <t>,12</t>
  </si>
  <si>
    <t>=CONCATENATE(B321,D321)</t>
  </si>
  <si>
    <t xml:space="preserve"> 13</t>
  </si>
  <si>
    <t>=CONCATENATE(B322,D322)</t>
  </si>
  <si>
    <t>=CONCATENATE(B323,D323)</t>
  </si>
  <si>
    <t>函数宝典是</t>
  </si>
  <si>
    <t>出品的函数大全升级版</t>
  </si>
  <si>
    <t>基于所指定的字符数返回文本字符串中的第一个或前几个字符.</t>
  </si>
  <si>
    <t>从内容的左边开始截取指定的字的个数</t>
  </si>
  <si>
    <t>LEFT(text,num_chars)</t>
  </si>
  <si>
    <t>LEFT(目标单元格,从内容的左边开始截取指定的字的个数)</t>
  </si>
  <si>
    <t>是包含要提取字符的文本字符串.</t>
  </si>
  <si>
    <t>Num_chars</t>
  </si>
  <si>
    <t>指定要由LEFT所提取的字符数.必须大于或等于0.</t>
  </si>
  <si>
    <t>1.如果num_chars大于文本长度,则LEFT返回所有文本.
2.如果省略num_chars,则假定其为1.
3.Num_bytes  按字节指定要由LEFTB所提取的字符数.</t>
  </si>
  <si>
    <t>指定从内容开始处截取4个字</t>
  </si>
  <si>
    <t>指定从内容开始处截取2个字</t>
  </si>
  <si>
    <t>我爱钱慧敏</t>
  </si>
  <si>
    <t>指定从内容开始处截取3个字</t>
  </si>
  <si>
    <t>截取某特征前的字符</t>
  </si>
  <si>
    <t>条件:文本长短不一</t>
  </si>
  <si>
    <t>特征:要截取"@"前的内容</t>
  </si>
  <si>
    <t>1163077177@QQ.com</t>
  </si>
  <si>
    <t>=LEFT(B25,FIND("@",B25)-1)</t>
  </si>
  <si>
    <t>63077177@163.com</t>
  </si>
  <si>
    <t>说明:LEFT指定从内容开始处截取,没有指定,即从第一个字符开始.</t>
  </si>
  <si>
    <t>077177@sina.com</t>
  </si>
  <si>
    <t>FIND("@",B25)指定从第一位开始截取到"@"为止.</t>
  </si>
  <si>
    <t>-1是指@的前一位.如果是截取到"@"前的1为止,那就是-3</t>
  </si>
  <si>
    <t>合在一起的意思:从第一个字符开始,截取到"@"前一位为止.</t>
  </si>
  <si>
    <t>基于所指定的字节数返回文本字符串中的第一个或前几个字符.此函数用于双字节字符.</t>
  </si>
  <si>
    <t>LEFTB(text,num_bytes)</t>
  </si>
  <si>
    <t>LEFTB(目标单元格,从内容的左边开始截取指定的字的个数)</t>
  </si>
  <si>
    <t>LEFTB大至同于LEFT,请参考LEFT.</t>
  </si>
  <si>
    <t>根据所指定的字符数返回文本字符串中最后一个或多个字符.</t>
  </si>
  <si>
    <t>从内容的右边开始截取指定的字的个数</t>
  </si>
  <si>
    <t>RIGHT(text,num_chars)</t>
  </si>
  <si>
    <t>指定希望RIGHT提取的字符数.</t>
  </si>
  <si>
    <t>1.Num_chars必须大于或等于0.
2.如果num_chars大于文本长度,则RIGHT返回所有文本.
3.如果忽略num_chars,则假定其为1.</t>
  </si>
  <si>
    <t>指定从内容结束处倒数5个字截取.即,从内容右边开始倒数5个字截取.</t>
  </si>
  <si>
    <t>指定从内容结束处倒数3个字截取.即,从内容右边开始倒数3个字截取.</t>
  </si>
  <si>
    <t>根据所指定的字符数返回文本字符串中最后一个或多个字符.此函数用于双字节字符.</t>
  </si>
  <si>
    <t>RIGHTB(text,num_bytes)</t>
  </si>
  <si>
    <t>RIGHTB(目标单元格,从内容的右边开始截取指定的字的个数)</t>
  </si>
  <si>
    <t>text</t>
  </si>
  <si>
    <t>Num_bytes</t>
  </si>
  <si>
    <t>指定希望RIGHTB根据字节所提取的字符数.</t>
  </si>
  <si>
    <t>RIGHTB大至同于RIGHT,请参考RIGHT.</t>
  </si>
  <si>
    <t>返回文本字符串中从指定位置开始的特定数目的字符,该数目由用户指定.</t>
  </si>
  <si>
    <t>从内容的左边指定位置开始截取指定的字的个数</t>
  </si>
  <si>
    <t>MID(text,start_num,num_chars)</t>
  </si>
  <si>
    <t>MID(目标单元格,内容的左边指定开始位置,指定截取的字的个数)</t>
  </si>
  <si>
    <t>Start_num</t>
  </si>
  <si>
    <t>是文本中要提取的第一个字符的位置.文本中第一个字符的start_num为1,以此类推.</t>
  </si>
  <si>
    <t>指定希望MID从文本中返回字符的个数.</t>
  </si>
  <si>
    <t>1.如果start_num大于文本长度,则MID返回空文本("").
2.如果start_num小于文本长度,但start_num加上num_chars超过了文本的长度,则MID只返回至多直到文本末尾的字符.
3.如果start_num小于1,则MID返回错误值#VALUE!.
4.如果num_chars是负数,则MID返回错误值#VALUE!.</t>
  </si>
  <si>
    <t>指定从内容指定的第5个字开始截取,一共截取2个.</t>
  </si>
  <si>
    <t>指定从内容指定的第3个字开始截取,一共截取4个.</t>
  </si>
  <si>
    <t>返回文本字符串中从指定位置开始的特定数目的字符,该数目由用户指定.此函数用于双字节字符.</t>
  </si>
  <si>
    <t>MIDB(text,start_num,num_bytes)</t>
  </si>
  <si>
    <t>MIDB(目标单元格,内容的左边指定开始位置,指定截取的字的个数)</t>
  </si>
  <si>
    <t>指定希望MIDB从文本中返回字符的个数(按字节).</t>
  </si>
  <si>
    <t>1.如果start_num大于文本长度,则MID返回空文本("").
2.如果start_num小于文本长度,但start_num加上num_chars超过了文本的长度,则MID只返回至多直到文本末尾的字符.
3.如果start_num小于1,则MID返回错误值#VALUE!.
4.如果num_bytes是负数,则MIDB返回错误值#VALUE!.</t>
  </si>
  <si>
    <t>MIDB大至同于MID,请参考MID.</t>
  </si>
  <si>
    <t>检索字符位置(区分大小写)</t>
  </si>
  <si>
    <t>用于查找其他文本字符串(within_text)内的文本字符串(find_text),并从within_text的首字符开始返回find_text的起始位置编号.也可使用SEARCH查找其他文本字符串中的某个文本字符串,但是,FIND和SEARCH不同,FIND区分大小写并且不允许使用通配符.</t>
  </si>
  <si>
    <t>查找内容在第几个字的位置,大小写算不同内容.</t>
  </si>
  <si>
    <t>FIND(find_text,within_text,start_num)</t>
  </si>
  <si>
    <t>FIND(要查找的内容加引号或单元格,查找区域(单元格),从几个字开始查找)</t>
  </si>
  <si>
    <t>Find_text</t>
  </si>
  <si>
    <t>是要查找的文本.</t>
  </si>
  <si>
    <t>Within_text</t>
  </si>
  <si>
    <t>是包含要查找文本的文本.</t>
  </si>
  <si>
    <t>指定开始进行查找的字符.within_text中的首字符是编号为1的字符.如果忽略start_num,则假设其为1.</t>
  </si>
  <si>
    <t>使用start_num可跳过指定数目的字符.例如,假定使用文本字符串“AYF0093.YoungMensApparel”,如果要查找文本字符串中说明部分的第一个“Y”的编号,则可将start_num设置为8,这样就不会查找文本的序列号部分.FIND将从第8个字符开始查找,而在下一个字符处即可找到find_text,于是返回编号9.FIND总是从within_text的起始处返回字符编号,如果start_num大于1,也会对跳过的字符进行计数.</t>
  </si>
  <si>
    <t>1.如果find_text是空文本(""),则FIND会匹配搜索串中的首字符(即：编号为start_num或1的字符).
2.Find_text中不能包含通配符.
3.如果within_text中没有find_text,则FIND和FINDB返回错误值#VALUE!.
4.如果start_num不大于0,则FIND和FINDB返回错误值#VALUE!.
5.如果start_num大于within_text的长度,则FIND和FINDB返回错误值#VALUE!.</t>
  </si>
  <si>
    <t>函数宝典原名函数大全</t>
  </si>
  <si>
    <t>=FIND("函数",B17)</t>
  </si>
  <si>
    <t>第三个参数省略:表示从第一个字开始.</t>
  </si>
  <si>
    <t>1:表示从表示从第一个字开始.</t>
  </si>
  <si>
    <t>3:表示从表示从第三个字开始.</t>
  </si>
  <si>
    <t>函数宝典A版-2011a</t>
  </si>
  <si>
    <t>从A与a说明区分大小写</t>
  </si>
  <si>
    <t>用于查找其他文本字符串(within_text)内的文本字符串(find_text),并基于每个字符所使用的字节数从within_text的首字符开始返回find_text的起始位置编号.此函数用于双字节字符.也可使用SEARCHB查找其他文本字符串中的某个文本字符串.</t>
  </si>
  <si>
    <t>FINDB(find_text,within_text,start_num)</t>
  </si>
  <si>
    <t>FINDB(要查找的内容加引号或单元格,查找区域(单元格),从几个字开始查找)</t>
  </si>
  <si>
    <t>FINDB大至同于FIND,请参考FIND.</t>
  </si>
  <si>
    <t>返回从start_num开始首次找到特定字符或文本字符串的位置上特定字符的编号.使用SEARCH可确定字符或文本字符串在其他文本字符串中的位置,这样就可使用MID或REPLACE函数更改文本.</t>
  </si>
  <si>
    <t>SEARCH(find_text,within_text,start_num)</t>
  </si>
  <si>
    <t>SEARCH(要查找的内容加引号或单元格,查找区域(单元格),从几个字开始查找)</t>
  </si>
  <si>
    <t>是要查找的文本.可以在find_text中使用通配符,包括问号(?)和星号(*).问号可匹配任意的单个字符,星号可匹配任意一串字符.如果要查找真正的问号或星号,请在该字符前键入波形符(~).</t>
  </si>
  <si>
    <t>是要在其中查找find_text的文本.</t>
  </si>
  <si>
    <t>是within_text中开始查找的字符的编号.</t>
  </si>
  <si>
    <t>使用start_num可跳过指定数目的字符.例如,假定使用文本字符串AYF0093.YoungMensApparel,如果要查找文本字符串中说明部分的第一个Y的编号,则可将start_num设置为8,这样就不会查找文本的序列号部分.SEARCH将从第8个字符开始查找,而在下一个字符处即可找到find_text,于是返回编号9.SEARCH总是从within_text的起始处返回字符编号,如果start_num大于1,也会对跳过的字符进行计数.</t>
  </si>
  <si>
    <t>1.SEARCH和SEARCHB在查找文本时不区分大小写.
2.SEARCH和SEARCHB类似于FIND和FINDB,但FIND和FINDB区分大小写.
3.如果没有找到find_text,则返回错误值#VALUE!.
4.如果忽略start_num,则假定其为1.
5.如果start_num不大于0(零)或大于within_text,则返回错误值#VALUE!.</t>
  </si>
  <si>
    <t>=SEARCH("函数",B217)</t>
  </si>
  <si>
    <t>从A与a说明查找不区分大小写</t>
  </si>
  <si>
    <t>可在其他文本字符串(within_text)中查找文本字符串(find_text),并返回find_text的起始位置编号.此结果是基于每个字符所使用的字节数,并从start_num开始的.此函数用于双字节字符.此外,也可使用FINDB在其他文本字符串中查找文本字符串.</t>
  </si>
  <si>
    <t>SEARCHB(find_text,within_text,start_num)</t>
  </si>
  <si>
    <t>SEARCHB(要查找的内容加引号或单元格,查找区域(单元格),从几个字开始查找)</t>
  </si>
  <si>
    <t>SHARCHB大至同于SHARCH,请参考SHARCH.</t>
  </si>
  <si>
    <t>在文本字符串中用new_text替代old_text.如果需要在某一文本字符串中替换指定的文本,请使用函数SUBSTITUTE；如果需要在某一文本字符串中替换指定位置处的任意文本,请使用函数REPLACE.</t>
  </si>
  <si>
    <t>指定内容替换旧内容</t>
  </si>
  <si>
    <t>SUBSTITUTE(text,old_text,new_text,instance_num)</t>
  </si>
  <si>
    <t>SUBSTITUTE(目标单元格,旧内容,新内容,替换第几个或全替换)</t>
  </si>
  <si>
    <t>为需要替换其中字符的文本,或对含有文本的单元格的引用.</t>
  </si>
  <si>
    <t>Old_text</t>
  </si>
  <si>
    <t>为需要替换的旧文本.</t>
  </si>
  <si>
    <t>New_text</t>
  </si>
  <si>
    <t>用于替换old_text的文本.</t>
  </si>
  <si>
    <t>Instance_num</t>
  </si>
  <si>
    <t>为一数值,用来指定以new_text替换第几次出现的old_text.如果指定了instance_num,则只有满足要求的old_text被替换；否则将用new_text替换Text中出现的所有old_text.</t>
  </si>
  <si>
    <t>美男美女每男每女美男美女</t>
  </si>
  <si>
    <t>=SUBSTITUTE(B18,"美男美女",$C$24)</t>
  </si>
  <si>
    <t>B18:要检索的位置.</t>
  </si>
  <si>
    <t>美男美女家居生活馆</t>
  </si>
  <si>
    <t>=SUBSTITUTE(B19,"美男美女",$C$24)</t>
  </si>
  <si>
    <t>"美男美女":要检索的内容,用""引号括住.</t>
  </si>
  <si>
    <t>=SUBSTITUTE(B20,"美男美女",$C$24)</t>
  </si>
  <si>
    <t>$C$24:要替换的新内容.</t>
  </si>
  <si>
    <t>=SUBSTITUTE(B21,"美男美女",$C$24)</t>
  </si>
  <si>
    <t>美男美女美男美女美男美女</t>
  </si>
  <si>
    <t>1:指定第一次检索到的要替换,别的不换.指定2,即只替换第二个.不指定次数为都替换.</t>
  </si>
  <si>
    <t>正确文本</t>
  </si>
  <si>
    <t>使用其他文本字符串并根据所指定的字符数替换某文本字符串中的部分文本.</t>
  </si>
  <si>
    <t>REPLACE(old_text,start_num,num_chars,new_text)</t>
  </si>
  <si>
    <t>REPLACE(替换其部分字符的文本,是要用new_text替换的old_text中字符的位置,替换中字符的个数,要用于替换文本)</t>
  </si>
  <si>
    <t>是要替换其部分字符的文本.</t>
  </si>
  <si>
    <t>是要用new_text替换的old_text中字符的位置.</t>
  </si>
  <si>
    <t>是希望REPLACE使用new_text替换old_text中字符的个数.</t>
  </si>
  <si>
    <t>是要用于替换old_text中字符的文本.</t>
  </si>
  <si>
    <t>=REPLACE(B118,1,4,"每男每女")</t>
  </si>
  <si>
    <t>=REPLACE(B119,1,4,"每男每女")</t>
  </si>
  <si>
    <t>使用其他文本字符串并根据所指定的字符数替换某文本字符串中的部分文本.此函数专为双字节字符使用.</t>
  </si>
  <si>
    <t>REPLACEB(old_text,start_num,num_bytes,new_text)</t>
  </si>
  <si>
    <t>是希望REPLACE使用new_text替换old_text中字节的个数.</t>
  </si>
  <si>
    <t>REPLACEB大至同于REPLACE,请参考REPLACE.</t>
  </si>
  <si>
    <t>除了单词之间的单个空格外,清除文本中所有的空格.</t>
  </si>
  <si>
    <t>TRIM(text)</t>
  </si>
  <si>
    <t>TRIM(目标单元格)</t>
  </si>
  <si>
    <t>需要清除其中空格的文本.</t>
  </si>
  <si>
    <t>在从其他应用程序中获取带有不规则空格的文本时,可以使用函数TRIM.</t>
  </si>
  <si>
    <t>每男 每女家居生活馆</t>
  </si>
  <si>
    <t>=TRIM(B17)</t>
  </si>
  <si>
    <t>中间输入一个空格</t>
  </si>
  <si>
    <t>每 男  每   女</t>
  </si>
  <si>
    <t>=TRIM(B18)</t>
  </si>
  <si>
    <t>分别在每个字后输1、2、3不同空格</t>
  </si>
  <si>
    <t>钱          慧敏</t>
  </si>
  <si>
    <t>=TRIM(B19)</t>
  </si>
  <si>
    <t>"钱"字后面输10 个空格</t>
  </si>
  <si>
    <t>总结:删除顺序为:多个连续空格中保留最前的一个空格,删除其余空格.保留一个空格是为保证英文单词间的空格不被误删除.</t>
  </si>
  <si>
    <t>删除文本中不能打印的字符.对从其他应用程序中输入的文本使用CLEAN函数,将删除其中含有的当前操作系统无法打印的字符.</t>
  </si>
  <si>
    <t>CLEAN(text)</t>
  </si>
  <si>
    <t>CLEAN(目标单元格)</t>
  </si>
  <si>
    <t>文本是要从中删除不能打印字符的任何工作表信息.</t>
  </si>
  <si>
    <t>单元格中的软回车会生成代码,虽然肉眼看不到,事实是存在于表格中,此类字符输出至别的文本,可能会产生乱码.用CLEAN函数删除.</t>
  </si>
  <si>
    <t>回文本字符串中第一个字符的数字代码.返回的代码对应于计算机当前使用的字符集.</t>
  </si>
  <si>
    <t>查看字符代码</t>
  </si>
  <si>
    <t>CODE(text)</t>
  </si>
  <si>
    <t>CODE(目标单元格)</t>
  </si>
  <si>
    <t>为需要得到其第一个字符代码的文本.</t>
  </si>
  <si>
    <t>操作环境：Macintosh、Windows；字符集：Macintosh字符集、ANSI.</t>
  </si>
  <si>
    <t>“每男每女”家居生活馆</t>
  </si>
  <si>
    <t>=CODE(B17)</t>
  </si>
  <si>
    <t>说明:41392代表全角</t>
  </si>
  <si>
    <t>"每男每女"家居生活馆</t>
  </si>
  <si>
    <t>=CODE(B18)</t>
  </si>
  <si>
    <t>说明:34代表半角</t>
  </si>
  <si>
    <t>返回对应于数字代码的字符.函数CHAR可将其他类型计算机文件中的代码转换为字符.</t>
  </si>
  <si>
    <t>CHAR(number)</t>
  </si>
  <si>
    <t>CHAR(目标单元格)</t>
  </si>
  <si>
    <t>是用于转换的字符代码,介于1到255之间.使用的是当前计算机字符集中的字符.</t>
  </si>
  <si>
    <t>将数值转换为按指定数字格式表示的文本.</t>
  </si>
  <si>
    <t>改变数值的显示方式</t>
  </si>
  <si>
    <t>TEXT(value,format_text)</t>
  </si>
  <si>
    <t>TEXT(要改变数值或单元格,要显示的方式代码)</t>
  </si>
  <si>
    <t>Value</t>
  </si>
  <si>
    <t>为数值、计算结果为数字值的公式,或对包含数字值的单元格的引用.</t>
  </si>
  <si>
    <t>Format_text</t>
  </si>
  <si>
    <t>为"单元格格式"对话框中"数字"选项卡上"分类"框中的文本形式的数字格式.</t>
  </si>
  <si>
    <t>通过"格式"菜单调用"单元格"命令，然后在“数字”选项卡上设置单元格的格式,只会更改单元格的格式而不会影响其中的数值.使用函数TEXT可以将数值转换为带格式的文本,而其结果将不再作为数字参与计算.</t>
  </si>
  <si>
    <t>Format_text不能包含星号(*)</t>
  </si>
  <si>
    <t>单元格显示格式一览表</t>
  </si>
  <si>
    <t>格式符号</t>
  </si>
  <si>
    <t>格式符号的含义</t>
  </si>
  <si>
    <t>#</t>
  </si>
  <si>
    <t>显示有效位数.当数值的位数少于格式"#"时,无需保持与位数格式一致,数值按原样显示.不显示多余的0.如是小数,不足显示位数的数值被四舍五入.例:对123.456设置格式"####.##"时→123.46</t>
  </si>
  <si>
    <t>=TEXT(J19,"####.##")</t>
  </si>
  <si>
    <t>当数值的位数少于格式的0时,不足位数显示0.如果是小数,不足显示位数的数值被四舍五入.例:对123.456设置格式"0000.00"时→0123.46</t>
  </si>
  <si>
    <t>=TEXT(J20,"0000.00")</t>
  </si>
  <si>
    <t>?</t>
  </si>
  <si>
    <t>为了用固定宽度字体对齐位数不同的小数而对准小数点的位置.如果小数不足显示位数的数值被四舍五入.例:对12.3456设置格式"???.???"时→012.346</t>
  </si>
  <si>
    <t>=TEXT(J21,"???.???")</t>
  </si>
  <si>
    <t>.(句号)</t>
  </si>
  <si>
    <t>表示小数点.例:对12345设置格式"###.000"时→12345.000</t>
  </si>
  <si>
    <t>=TEXT(J22,"###.000")</t>
  </si>
  <si>
    <t>,(逗号)</t>
  </si>
  <si>
    <t>附加千位分隔符.例:12345设置格式"###,###"时→12,345</t>
  </si>
  <si>
    <t>=TEXT(J23,"###,###")</t>
  </si>
  <si>
    <t>在数值末尾附加上一个逗号时,则用千单位显示,不足显示位数的数值被四舍五入.例:对12345设置格式"0.00千元"时→12.35千元.</t>
  </si>
  <si>
    <t>=TEXT(J24,"0.00千元")</t>
  </si>
  <si>
    <t>在数值末尾附加上两个逗号时,则用百万单位显示,不足显示位数的数值被四舍五入.例:对12345设置格式"0.00,,百万元"时→12.35百万元.</t>
  </si>
  <si>
    <t>=TEXT(J25,"0.00,,百万元")</t>
  </si>
  <si>
    <t>%</t>
  </si>
  <si>
    <t>设置为百分比显示.例:对0.5设置格式"0%"→"50%.</t>
  </si>
  <si>
    <t>=TEXT(J26,"0%")</t>
  </si>
  <si>
    <t>￥</t>
  </si>
  <si>
    <t>附加￥符号.例:12345设置格式"￥#####"时→￥12345.</t>
  </si>
  <si>
    <t>=TEXT(J27,"￥#####")</t>
  </si>
  <si>
    <t>$</t>
  </si>
  <si>
    <t>附加$符号.例:12345设置格式"$#####"时→$12346.</t>
  </si>
  <si>
    <t>=TEXT(J28,"$#####")</t>
  </si>
  <si>
    <t>/</t>
  </si>
  <si>
    <t>表示分数.例:对0.5设置格式"##/##"→1/2.</t>
  </si>
  <si>
    <t>=TEXT(J29,"##/##")</t>
  </si>
  <si>
    <t>时刻/时间</t>
  </si>
  <si>
    <t>hh</t>
  </si>
  <si>
    <t>表示时分秒的"时"的部分.不足两位时在第一位上补充0.例:对8:30:06设置格式"hh"→06.</t>
  </si>
  <si>
    <t>=TEXT(J33,"hh")</t>
  </si>
  <si>
    <t>h</t>
  </si>
  <si>
    <t>表示时分秒的"时"的部分.不足两位时在第一位上补充0.例:对8:30:06设置格式"h"→8.</t>
  </si>
  <si>
    <t>=TEXT(J34,"h")</t>
  </si>
  <si>
    <t>mm</t>
  </si>
  <si>
    <t>表示时分秒的"分"的部分.不足两位时在第一位上补充0.只有和时分秒的格式符号一起使用时才被视为"分".其他则被视为日期的"月".例:对8:30:06设置格式"mm"→8:30.</t>
  </si>
  <si>
    <t>公式结果与资料中的内容有不符,原因查找中.</t>
  </si>
  <si>
    <t>ss</t>
  </si>
  <si>
    <t>表示时分秒的"秒"的部分.不足两位时在第一位上补充0.例:对8:30:06设置格式"ss"→06.</t>
  </si>
  <si>
    <t>=TEXT(J36,"ss")</t>
  </si>
  <si>
    <t>s</t>
  </si>
  <si>
    <t>表示时分秒的"秒"的部分.例:对8:30:06设置格式"s"→6.</t>
  </si>
  <si>
    <t>=TEXT(J37,"s")</t>
  </si>
  <si>
    <t>AM/PM</t>
  </si>
  <si>
    <t>凌晨0点至中午前附加"AM",中午至凌晨0点前附加"PM".例:对8:30:06设置格式"h:m AM/PM"→8:30AM.</t>
  </si>
  <si>
    <t>=TEXT(J38,"h:m AM/PM")</t>
  </si>
  <si>
    <t>[]</t>
  </si>
  <si>
    <t>表示经历的时间.[h]表示小时,[mm]表示分钟,[ss]表示秒钟.例:8:30:06设置格式"[mm]:ss"→510:06.</t>
  </si>
  <si>
    <t>=TEXT(J39,"[mm]:ss")</t>
  </si>
  <si>
    <t>yyyy</t>
  </si>
  <si>
    <t>用四位数表示公历纪年.例:对2012-10-18设置格式"yyyy"→2012.</t>
  </si>
  <si>
    <t>=TEXT(J40,"yyyy")</t>
  </si>
  <si>
    <t>yy</t>
  </si>
  <si>
    <t>用后两位数表示公历纪年.例:对2012-10-18设置格式"yy"→12.</t>
  </si>
  <si>
    <t>=TEXT(J41,"yy")</t>
  </si>
  <si>
    <t>e</t>
  </si>
  <si>
    <t>表示日本历纪年.(小日本的例题略)</t>
  </si>
  <si>
    <t>ggg</t>
  </si>
  <si>
    <t>表示日本历纪年号.(小日本的例题略)</t>
  </si>
  <si>
    <t>gg</t>
  </si>
  <si>
    <t>用数值表示月份.(小日本的例题略)</t>
  </si>
  <si>
    <t>g</t>
  </si>
  <si>
    <t>用英文缩写表示日本历的年号.(小日本的例题略)</t>
  </si>
  <si>
    <t>m</t>
  </si>
  <si>
    <t>用数值表示月份.例:对2012-10-18设置格式"m"→10.</t>
  </si>
  <si>
    <t>=TEXT(J46,"m")</t>
  </si>
  <si>
    <t>mmmm</t>
  </si>
  <si>
    <t>用英文表示月份.例:对2012-10-18设置格式"mmmm"→October.</t>
  </si>
  <si>
    <t>=TEXT(J47,"mmmm")</t>
  </si>
  <si>
    <t>mmm</t>
  </si>
  <si>
    <t>用英文缩写表示月份.例:对2012-10-18设置格式"mmmm"→Oct.</t>
  </si>
  <si>
    <t>=TEXT(J48,"mmm")</t>
  </si>
  <si>
    <t>dd</t>
  </si>
  <si>
    <t>用两位数的数值表示日期.不足两位数时在第一位加0.例:对2012-10-2设置格式"dd"→02.</t>
  </si>
  <si>
    <t>=TEXT(J49,"dd")</t>
  </si>
  <si>
    <t>d</t>
  </si>
  <si>
    <t>用数值表示日期.例:对2012-10-2设置格式"d"→2.</t>
  </si>
  <si>
    <t>=TEXT(J50,"d")</t>
  </si>
  <si>
    <t>表示星期.例:对2012-10-18设置格式"aaaa"→星期四.</t>
  </si>
  <si>
    <t>=TEXT(J51,"aaaa")</t>
  </si>
  <si>
    <t>用缩写方式表示星期.例:对2012-10-18设置格式"aaa"→周四.</t>
  </si>
  <si>
    <t>=TEXT(J52,"aaa")</t>
  </si>
  <si>
    <t>用英语表示星期.例:对2012-10-18设置格式"dddd"→Thursday.</t>
  </si>
  <si>
    <t>=TEXT(J53,"dddd")</t>
  </si>
  <si>
    <t>用英语缩写方式表示星期.例:对2012-10-18设置格式"ddd"→Thu.</t>
  </si>
  <si>
    <t>=TEXT(J54,"ddd")</t>
  </si>
  <si>
    <t>其他</t>
  </si>
  <si>
    <t>G/通用格式</t>
  </si>
  <si>
    <t>输入的字符按原样显示.例:对123450设置格式"G/通用格式"→123450.</t>
  </si>
  <si>
    <t>=TEXT(J58,"G/通用格式")</t>
  </si>
  <si>
    <t>[DBNum1]</t>
  </si>
  <si>
    <t>用小写汉字数字(一、二)和位(十、百)表示.例:对123450设置格式"[DBNum1]"→一十二万三千四百五十.</t>
  </si>
  <si>
    <t>=TEXT(J59,"[DBNum1]")</t>
  </si>
  <si>
    <t>[DBNum1]###0</t>
  </si>
  <si>
    <t>用小写汉字数字(一、二)表示.例:对123450设置格式"[DBNum1]###0"→一二三四五○.</t>
  </si>
  <si>
    <t>=TEXT(J60,"[DBNum1]###0")</t>
  </si>
  <si>
    <t>[DBNum2]</t>
  </si>
  <si>
    <t>用大写数字(壹、贰)和位(十、百)表示.例:对123450设置格式"[DBNum2]"→壹拾贰万叁仟肆佰伍拾.</t>
  </si>
  <si>
    <t>=TEXT(J61,"[DBNum2]")</t>
  </si>
  <si>
    <t>[DBNum2]###0</t>
  </si>
  <si>
    <t>用大写数字(壹、贰)表示.例:对123450设置格式"[DBNum2]###0"→壹贰叁肆伍零.</t>
  </si>
  <si>
    <t>=TEXT(J62,"[DBNum2]###0")</t>
  </si>
  <si>
    <t>[DBNum3]</t>
  </si>
  <si>
    <t>用全角数字(１、２)和位(十、百)表示.例:对123450设置格式"[DBNum3]"→１十２万３千４百５十.</t>
  </si>
  <si>
    <t>=TEXT(J63,"[DBNum3]")</t>
  </si>
  <si>
    <t>[条件]格式</t>
  </si>
  <si>
    <t>可以指定用";(分号)区分的两个条件和格式.全用TEXT函数时,可以在第二个";"之后指定公式或文本的格式,在第三个";'之后只能指定文本格式.例:对10设置格式"[0]"负";[=0]"零";"正""→正.</t>
  </si>
  <si>
    <t>;(分号)</t>
  </si>
  <si>
    <t>以[正;负]的格式指定正负的显示格式.例:对12345设置格式"##;(##)"→(12345).</t>
  </si>
  <si>
    <t>=TEXT(J65,"##;(##)")</t>
  </si>
  <si>
    <t>_(下划线)</t>
  </si>
  <si>
    <t>空出"_"之后的字符大小的间隔.用来对齐位数.例:对12345设置格式"#,###_-$;####-$"→12,345 $.</t>
  </si>
  <si>
    <t>=TEXT(J66,"#,###_-$;####-$")</t>
  </si>
  <si>
    <t>可将数字转换为文本格式,并应用货币符号.函数的名称及其应用的货币符号取决于您的语言设置.</t>
  </si>
  <si>
    <t>给数字加上人民币符号、千位分隔符和设置保留位数</t>
  </si>
  <si>
    <t>RMB(number,decimals)</t>
  </si>
  <si>
    <t>RMB(目标单元格或数字式,保留位数)</t>
  </si>
  <si>
    <t>为数字、包含数字的单元格引用,或是计算结果为数字的公式.</t>
  </si>
  <si>
    <t>Decimals</t>
  </si>
  <si>
    <t>为十进制数的小数位数.如果Decimals为负数,则参数number从小数点往左按相应位数取整.如果省略Decimals,则假设其值为2.</t>
  </si>
  <si>
    <t>该函数依照货币格式将小数四舍五入到指定的位数并转换成文本.使用的格式为(￥#,##0.00_);(￥#,##0.00).</t>
  </si>
  <si>
    <t>使用“格式”菜单中的“单元格”命令来设置包含数字的单元格的格式与使用DOLLAR函数直接设置数字的格式之间的区别在于：DOLLAR函数将结果转换为文本,而使用“单元格”命令设置格式的数字仍为数字.但可以继续在公式中使用由DOLLAR函数设置了格式的数字,因为Microsoft Excel在计算公式时会将以文本值输入的数字转换为数字.</t>
  </si>
  <si>
    <t>Decimals参数定义</t>
  </si>
  <si>
    <t>指定四舍五入的位数(位)的位置.根据指定的数值的不同,四舍五入的位置变化如下.N表示指定数值.如果省略,则做"2"处理,在小数点的第3位四舍五入.</t>
  </si>
  <si>
    <t>N正数</t>
  </si>
  <si>
    <t>在小数点第N+1位四舍五入</t>
  </si>
  <si>
    <t>在小数部分全部四舍五入</t>
  </si>
  <si>
    <t>-N</t>
  </si>
  <si>
    <t>在整数第N位四舍五入</t>
  </si>
  <si>
    <t>省略</t>
  </si>
  <si>
    <t>被看作"2",在小数点第3位四舍五入</t>
  </si>
  <si>
    <t>每男每女家居生活馆 1月销售表</t>
  </si>
  <si>
    <t>1月</t>
  </si>
  <si>
    <t>解释</t>
  </si>
  <si>
    <t>0:在小数部分全部四舍五入,并在前面加上人民币符号.</t>
  </si>
  <si>
    <t>1:在小数点第N+1位四舍五入,并在前面加上人民币符号.</t>
  </si>
  <si>
    <t>-1:在整数第N位四舍五入,并在前面加上人民币符号.</t>
  </si>
  <si>
    <t>空:同"0".</t>
  </si>
  <si>
    <t>省略:被看作"2",在小数点第3位四舍五入,并在前面加上人民币符号.</t>
  </si>
  <si>
    <t>Decimals参数四舍五入位置说明</t>
  </si>
  <si>
    <t>0:表示小数后面全部四舍五入</t>
  </si>
  <si>
    <t>1:表示小数后面保留一位</t>
  </si>
  <si>
    <t>2:表示小数后面保留二位</t>
  </si>
  <si>
    <t>-1:表示保留到十位数</t>
  </si>
  <si>
    <t>-2表示保留到百位数</t>
  </si>
  <si>
    <t>省略:表示小数后面保留二位</t>
  </si>
  <si>
    <t>给数字加上美元符号、千位分隔符和设置保留位数</t>
  </si>
  <si>
    <t>DOLLAR(number,decimals)</t>
  </si>
  <si>
    <t>DOLLAR(目标单元格或数字式,保留位数)</t>
  </si>
  <si>
    <t>0:在小数部分全部四舍五入,并在前面加上美元符号.</t>
  </si>
  <si>
    <t>1:在小数点第N+1位四舍五入,并在前面加上美元符号.</t>
  </si>
  <si>
    <t>-1:在整数第N位四舍五入,并在前面加上美元符号.</t>
  </si>
  <si>
    <t>省略:被看作"2",在小数点第3位四舍五入,并在前面加上美元符号.</t>
  </si>
  <si>
    <t>数字转换为泰语文本并添加前缀"泰铢".</t>
  </si>
  <si>
    <t>数字换成泰语</t>
  </si>
  <si>
    <t>BAHTTEXT(number)</t>
  </si>
  <si>
    <t>BAHTTEXT(目标单元格或数字)</t>
  </si>
  <si>
    <t>为要转换成文本的数字、对包含数字的单元格的引用或结果为数字的公式.</t>
  </si>
  <si>
    <t>在Microsoft Excel for Windows中,可以使用"控制面板"中的"区域设置"或"区域选项"将泰铢格式更改为其他样式.</t>
  </si>
  <si>
    <t>函数的返回值可以在公式中使用,但返回值只能作为文本使用.</t>
  </si>
  <si>
    <t>单元格引用</t>
  </si>
  <si>
    <t>直接输入数值</t>
  </si>
  <si>
    <t>将数字按指定的小数位数进行取整，利用句号和逗号，以小数格式对该数进行格式设置，并以文本形式返回结果。</t>
  </si>
  <si>
    <t>给数字加上千位分隔符和设置保留位数</t>
  </si>
  <si>
    <t>FIXED(number,decimals,no_commas)</t>
  </si>
  <si>
    <t>FIXED(目标单元格或数字式,保留位数,是否用千位分隔符)</t>
  </si>
  <si>
    <t>要进行四舍五入并转换成文本字符串的数.</t>
  </si>
  <si>
    <t>为一数值，用以指定小数点右边的小数位数.</t>
  </si>
  <si>
    <t>No_commas</t>
  </si>
  <si>
    <t>为一逻辑值.</t>
  </si>
  <si>
    <t>1.在Microsoft Excel中,Numbers的最大有效位数不能超过15位,但decimals可达到127.
2.如果Decimals为负数，则参数number舍入到小数点左边.
3.如果省略小数,则假设其值为2.
4.如果其值为FALSE或被省略,则返回的文本中和往常一样包含逗号.
5.该函数与使用"格式"菜单上的"单元格"命令格式化包含数字的单元格的主要区别在于:函数FIXED将其结果转换成文本,而"单元格"命令格式化的结果仍是数字.</t>
  </si>
  <si>
    <t>No_commas参数定义</t>
  </si>
  <si>
    <t>用逻辑值指定是否用","分隔.</t>
  </si>
  <si>
    <t>不用","分隔</t>
  </si>
  <si>
    <t>用","分隔</t>
  </si>
  <si>
    <t>使用FALSE,用","分隔</t>
  </si>
  <si>
    <t>使用TRUE,不用","分隔</t>
  </si>
  <si>
    <t>用"0"替代FALSE</t>
  </si>
  <si>
    <t>用"1"替代TRUE</t>
  </si>
  <si>
    <t>1+1:前面1表示保留小数后面1位,后面1表示用","分隔"</t>
  </si>
  <si>
    <t>将阿拉伯数字转换为文本形式的罗马数字.</t>
  </si>
  <si>
    <t>阿拉伯数字数字换成罗马数字</t>
  </si>
  <si>
    <t>ROMAN(number,form)</t>
  </si>
  <si>
    <t>ROMAN(阿拉伯数字数字或目标单元格,罗马数字类型)</t>
  </si>
  <si>
    <t>为需要转换的阿拉伯数字.</t>
  </si>
  <si>
    <t>Form</t>
  </si>
  <si>
    <t>为一数字,指定所需的罗马数字类型.罗马数字的样式范围可以从经典到简化,随着form值的增加趋于简单.</t>
  </si>
  <si>
    <t>罗马数字与阿拉伯数字的对应关系是,1对应"I",5对应"V",10对应"X",50对应"L",100对应"C",500对应"D",1000对应"M".</t>
  </si>
  <si>
    <t>1.如果数字为负,则返回错误值#VALUE!.
2.如果数字大于3999,则返回错误值#VALUE!.</t>
  </si>
  <si>
    <t>类型格式的比较(以阿拉伯数字"499"的罗马数字写法为例)</t>
  </si>
  <si>
    <t>格式设置</t>
  </si>
  <si>
    <t>罗马数字写法</t>
  </si>
  <si>
    <t>数字计算方法</t>
  </si>
  <si>
    <t>正式的格式
(古典类型)</t>
  </si>
  <si>
    <t>0、省略、TRUE</t>
  </si>
  <si>
    <t>CDXCIX</t>
  </si>
  <si>
    <t>CD</t>
  </si>
  <si>
    <t>XC</t>
  </si>
  <si>
    <t>IX</t>
  </si>
  <si>
    <t>简化格式</t>
  </si>
  <si>
    <t>LDVLIV</t>
  </si>
  <si>
    <t>LD</t>
  </si>
  <si>
    <t>VL</t>
  </si>
  <si>
    <t>IV</t>
  </si>
  <si>
    <t>比1更简化的格式</t>
  </si>
  <si>
    <t>XDIX</t>
  </si>
  <si>
    <t>XD</t>
  </si>
  <si>
    <t>比2更简化的格式</t>
  </si>
  <si>
    <t>VDIX</t>
  </si>
  <si>
    <t>VD</t>
  </si>
  <si>
    <t>缩写格式</t>
  </si>
  <si>
    <t>4、FALSE</t>
  </si>
  <si>
    <t>ID</t>
  </si>
  <si>
    <t>序列号</t>
  </si>
  <si>
    <t>罗马字符</t>
  </si>
  <si>
    <t>=ROMAN(E430,0)</t>
  </si>
  <si>
    <t>将数值转换成汉字数字的文本</t>
  </si>
  <si>
    <t>阿拉伯数字换成汉字</t>
  </si>
  <si>
    <t>NUMBERSTRING(number,format)</t>
  </si>
  <si>
    <t>NUMBERSTRING(要转换的阿拉伯数字或所在的单元格,汉字表达方式)</t>
  </si>
  <si>
    <t>format</t>
  </si>
  <si>
    <t>用介于1~3之间的整数指定汉字的表示方式.
1.将数值转换成以"一、二、三……"和表示位数的"十、百、千……"表示文本.
2.将数值转换成以"壹、贰、叁……"和表示位数的"拾、佰、仟……"表示文本.
3.将数值转换成以"一、二、三……"表示文本.与输入1相比,少表示位数的"十、百、千……".</t>
  </si>
  <si>
    <t>此函数只能手动在单元格输入函数,帮助中也没有些函数的相关项目.</t>
  </si>
  <si>
    <t>几种实例说明</t>
  </si>
  <si>
    <t>每男每女家居生活馆 元旦销售表</t>
  </si>
  <si>
    <t>元旦销售合计</t>
  </si>
  <si>
    <t>公式内输入的汉字表示方式为1</t>
  </si>
  <si>
    <t>公式内输入的汉字表示方式为2</t>
  </si>
  <si>
    <t>公式内输入的汉字表示方式为3</t>
  </si>
  <si>
    <t>公式内组合了货币标记，汉字表示方式为2</t>
  </si>
  <si>
    <t>公式内直接输入数值，汉字表示方式为2</t>
  </si>
  <si>
    <t>测试两个字符串是否完全相同.如果它们完全相同,则返回TRUE；否则,返回FALSE.函数EXACT能区分大小写,但忽略格式上的差异.利用函数EXACT可以测试输入文档内的文本.</t>
  </si>
  <si>
    <t>对比两个单元格里的内容是否一样</t>
  </si>
  <si>
    <t>EXACT(text1,text2)</t>
  </si>
  <si>
    <t>EXACT(目标单元格或文本1,目标单元格或文本2)</t>
  </si>
  <si>
    <t>Text1</t>
  </si>
  <si>
    <t>待比较的第一个字符串.</t>
  </si>
  <si>
    <t>Text2</t>
  </si>
  <si>
    <t>待比较的第二个字符串.</t>
  </si>
  <si>
    <t>对比数值</t>
  </si>
  <si>
    <t>结果TRUE为真,即两文本相同;结果FALSE为假,即不两文本不相同.</t>
  </si>
  <si>
    <t>MNMNJJSHG</t>
  </si>
  <si>
    <t>Mnmnjjshg</t>
  </si>
  <si>
    <t>结果证明:字母分大小字</t>
  </si>
  <si>
    <t>每女每男</t>
  </si>
  <si>
    <t>结果证明:文本内容分前后次序</t>
  </si>
  <si>
    <t>每男 每女</t>
  </si>
  <si>
    <t>结果证明:文本内容中的空格也算字符</t>
  </si>
  <si>
    <t>结果证明:文本内容的格式与文本本身无关.</t>
  </si>
  <si>
    <t>结果证明:公式中输入的文本也能与单元格中的文本对比.</t>
  </si>
  <si>
    <t>按照给定的次数重复显示文本.可以通过函数REPT来不断地重复显示某一文本字符串,对单元格进行填充.</t>
  </si>
  <si>
    <t>REPT(text,number_times)</t>
  </si>
  <si>
    <t>REPT(要显示的内容或单元格,要求重复的次数)</t>
  </si>
  <si>
    <t>需要重复显示的文本.</t>
  </si>
  <si>
    <t>Number_times</t>
  </si>
  <si>
    <t>是指定文本重复次数的正数.</t>
  </si>
  <si>
    <t>1.如果number_times为0,则REPT返回""(空文本).
2.如果number_times不是整数,则将被截尾取整.
3.REPT函数的结果不能大于32,767个字符,否则,REPT将返回错误值#VALUE!.</t>
  </si>
  <si>
    <t>指定文本</t>
  </si>
  <si>
    <t>显示次数</t>
  </si>
  <si>
    <t>函数宝典,</t>
  </si>
  <si>
    <t>得分情况</t>
  </si>
  <si>
    <t>★</t>
  </si>
  <si>
    <t>公式内输入要重复的文本</t>
  </si>
  <si>
    <t>单元格引用要重复的文本</t>
  </si>
  <si>
    <t>当参数中指定的"Value"为文本时,返回文本.如果不是文本则返回""(空文本).</t>
  </si>
  <si>
    <t>T(Value)</t>
  </si>
  <si>
    <t>T(目标单元格)</t>
  </si>
  <si>
    <t>指定要转换成文本的值.可以用""(双引号)括住指定文本,也可以指定包含文本的单元格.</t>
  </si>
  <si>
    <t>我的信箱</t>
  </si>
  <si>
    <t>用函数去掉超链接</t>
  </si>
  <si>
    <t>1163077177@QQ.COM</t>
  </si>
  <si>
    <t>=T(C216)</t>
  </si>
  <si>
    <t>=T(C218)</t>
  </si>
  <si>
    <t>返回数据集的内部平均值.函数TRIMMEAN先从数据集的头部和尾部除去一定百分比的数据点,然后再求平均值.当希望在分析中剔除一部分数据的计算时,可以使用此函数.</t>
  </si>
  <si>
    <t>TRIMMEAN(array,percent)</t>
  </si>
  <si>
    <t>TRIMMEAN(求平均值的数组或数值区域,计算时所要除去的数据点的比例)</t>
  </si>
  <si>
    <t>为需要进行整理并求平均值的数组或数值区域.</t>
  </si>
  <si>
    <t>Percent</t>
  </si>
  <si>
    <t>为计算时所要除去的数据点的比例.</t>
  </si>
  <si>
    <t>函数TRIMMEAN将除去的数据点数目向下舍入为最接近的2的倍数.如果percent=0.1,30个数据点的10%等于3个数据点.函数TRIMMEAN将对称地在数据集的头部和尾部各除去一个数据.</t>
  </si>
  <si>
    <t>如果percent&lt;0或percent&gt;1,函数TRIMMEAN返回错误值#NUM!.</t>
  </si>
  <si>
    <t>   </t>
  </si>
  <si>
    <t>考分</t>
  </si>
  <si>
    <t>平均</t>
  </si>
  <si>
    <t>=TRIMMEAN(C19:C30,0.2)  说明:剔除最大与最小的10%后再计算平均值.</t>
  </si>
  <si>
    <t>整体平均</t>
  </si>
  <si>
    <t>钱慧敏</t>
  </si>
  <si>
    <t>王红梅</t>
  </si>
  <si>
    <t>歌唱比赛的评分实例</t>
  </si>
  <si>
    <t>常用的评分规则:"去掉一个最高分和一个最低分后去平均值为最后得分".</t>
  </si>
  <si>
    <t>每男每女家居生活馆 歌唱比赛某员工的打分</t>
  </si>
  <si>
    <t>TRIMMEAN函数分两部分参数,前半部分参数是数据的整区域,这个不成问题,主要是找出后面的参数值.</t>
  </si>
  <si>
    <t>这里用2/COUNTA(B35:B43)计算出所要除去的数据点的比例.用函数COUNTA主要是其只计算是数据的单元格的个数函数的特点.</t>
  </si>
  <si>
    <t>=2/COUNTA(B35:B43)</t>
  </si>
  <si>
    <t>把这个比例作用为TRIMMEAN函数的后半部分参数.公式经嵌套成为：</t>
  </si>
  <si>
    <t>=TRIMMEAN(B35:B43,2/COUNTA(B35:B43))</t>
  </si>
  <si>
    <t>验证:</t>
  </si>
  <si>
    <t>最大值</t>
  </si>
  <si>
    <t>最小值</t>
  </si>
  <si>
    <t>总分值</t>
  </si>
  <si>
    <t>总分减去最大最小值</t>
  </si>
  <si>
    <t>一共9个评委,减去最高分与最低分后还留有7名评委.总分除7个评委即是评分.</t>
  </si>
  <si>
    <t>左边的值与D39单元格的值完全一致.</t>
  </si>
  <si>
    <t>返回包含数字以及包含参数列表中的数字的单元格的个数.利用函数COUNT可以计算单元格区域或数字数组中数字字段的输入项个数.</t>
  </si>
  <si>
    <t>计算日期和数值的有几格,即,能用SUM运算加进数值的内容有几格</t>
  </si>
  <si>
    <t>COUNT(value1,value2,...)</t>
  </si>
  <si>
    <t>COUNT(目标单元格1,目标单元格2,...)   COUNT(目标单元格区域)</t>
  </si>
  <si>
    <t>为包含或引用各种类型数据的参数(1到30个),但只有数字类型的数据才被计算.</t>
  </si>
  <si>
    <t>如果参数是一个数组或引用,那么只统计数组或引用中的数字；数组或引用中的空白单元格、逻辑值、文字或错误值都将被忽略.如果要统计逻辑值、文字或错误值,请使用函数COUNTA.</t>
  </si>
  <si>
    <t>函数COUNT在计数时,将把数字、日期、或以文本代表的数字计算在内；但是错误值或其他无法转换成数字的文字将被忽略.</t>
  </si>
  <si>
    <t>考试人数</t>
  </si>
  <si>
    <t>=COUNT($C$19:$C$30)</t>
  </si>
  <si>
    <t>=COUNT($D$19:$D$30)</t>
  </si>
  <si>
    <t>缺考</t>
  </si>
  <si>
    <t>80</t>
  </si>
  <si>
    <t>注:80为文本数据</t>
  </si>
  <si>
    <t>详细说明例题</t>
  </si>
  <si>
    <t>逻辑值</t>
  </si>
  <si>
    <t>=COUNT($B$36:$B$46)</t>
  </si>
  <si>
    <t>空白</t>
  </si>
  <si>
    <t>说明:空白单元格、逻辑值、文字或错误值都不计算在内.</t>
  </si>
  <si>
    <t>错误值</t>
  </si>
  <si>
    <t>数字</t>
  </si>
  <si>
    <t>88</t>
  </si>
  <si>
    <t>文本性数字</t>
  </si>
  <si>
    <t>ABC</t>
  </si>
  <si>
    <t>字母</t>
  </si>
  <si>
    <t>=""</t>
  </si>
  <si>
    <t>返回参数列表中非空值的单元格个数.利用函数COUNTA可以计算单元格区域或数组中包含数据的单元格个数.</t>
  </si>
  <si>
    <t>计算不是空白的单元格有几格</t>
  </si>
  <si>
    <t>COUNTA(value1,value2,...)</t>
  </si>
  <si>
    <t>COUNTA(目标单元格1,目标单元格2,...)   COUNTA(目标单元格区域)</t>
  </si>
  <si>
    <t>为所要计算的值</t>
  </si>
  <si>
    <t>参数个数为1到30个.在这种情况下,参数值可以是任何类型,它们可以包括空字符(""),但不包括空白单元格.如果参数是数组或单元格引用,则数组或引用中的空白单元格将被忽略.如果不需要统计逻辑值、文字或错误值,请使用函数COUNT.</t>
  </si>
  <si>
    <t>=COUNTA(B117:B127)</t>
  </si>
  <si>
    <t>说明:空白单元格不计算在内.</t>
  </si>
  <si>
    <t>计算指定单元格区域中空白单元格的个数.</t>
  </si>
  <si>
    <t>计算空的单元格有几格</t>
  </si>
  <si>
    <t>COUNTBLANK(range)</t>
  </si>
  <si>
    <t>COUNTBLANK(目标单元格1,目标单元格2,...)   COUNTBLANK(目标单元格区域)</t>
  </si>
  <si>
    <t>Range</t>
  </si>
  <si>
    <t>为需要计算其中空白单元格个数的区域.</t>
  </si>
  <si>
    <t>即使单元格中含有返回值为空文本 ("")的公式.该单元格也会计算在内,但包含零值的单元格不计算在内.</t>
  </si>
  <si>
    <t>=COUNTBLANK($B$217:$B$227)</t>
  </si>
  <si>
    <t>返回参数的平均值(算术平均值).</t>
  </si>
  <si>
    <t>AVERAGE(number1,number2,...)</t>
  </si>
  <si>
    <t>AVERAGE(单元格或单元格区域)</t>
  </si>
  <si>
    <t>为需要计算平均值的1到30个参数.</t>
  </si>
  <si>
    <t>1.参数可以是数字,或者是包含数字的名称、数组或引用.
2.如果数组或引用参数包含文本、逻辑值或空白单元格,则这些值将被忽略；但包含零值的单元格将计算在内.</t>
  </si>
  <si>
    <t>=AVERAGE(B18:B29)</t>
  </si>
  <si>
    <t>说明:计算的区域中包括错误值,将不能被运算.</t>
  </si>
  <si>
    <t>=AVERAGE(B18:B20,B22:B29)</t>
  </si>
  <si>
    <t>说明:计算的区域中减去错误值,正常运算.</t>
  </si>
  <si>
    <t>=AVERAGE(B24:B25,B27:B29)</t>
  </si>
  <si>
    <t>说明:计算的区域中含有文本性数字后,运算值也将是文本性</t>
  </si>
  <si>
    <t>计算参数列表中数值的平均值(算数平均值).不仅数字,而且文本和逻辑值(如TRUE和FALSE)也将计算在内.</t>
  </si>
  <si>
    <t>AVERAGEA(value1,value2,...)</t>
  </si>
  <si>
    <t>AVERAGEA(单元格或单元格区域)</t>
  </si>
  <si>
    <t>为需要计算平均值的1到30个单元格、单元格区域或数值.</t>
  </si>
  <si>
    <t>1.参数必须为数值、名称、数组或引用.
2.包含文本的数组或引用参数将作为0(零)计算.空文本("")也作为0(零)计算.如果在平均值的计算中不能包含文本值,请使用函数AVERAGE.
3.包含TRUE的参数作为1计算；包含FALSE的参数作为0计算.</t>
  </si>
  <si>
    <t>=AVERAGEA(B117:B128)</t>
  </si>
  <si>
    <t>=AVERAGEA(B117:B119,B121:B128)</t>
  </si>
  <si>
    <t>=AVERAGEA(B119,B121,B124,B127,B128)</t>
  </si>
  <si>
    <t>=AVERAGEA(B121,B124,B127,B128)</t>
  </si>
  <si>
    <t>=AVERAGEA(B124,B127,B128)</t>
  </si>
  <si>
    <t>=AVERAGEA(B124,B127)</t>
  </si>
  <si>
    <t>返回正数数组或区域的几何平均值.</t>
  </si>
  <si>
    <t>GEOMEAN(number1,number2,...)</t>
  </si>
  <si>
    <t>GEOMEAN(单元格或单元格区域)</t>
  </si>
  <si>
    <t>是用于计算平均数的1到30个参数,也可以不使用这种用逗号分隔参数的形式,而用单个数组或数组引用的形式.</t>
  </si>
  <si>
    <t>=GEOMEAN(B217:B228)</t>
  </si>
  <si>
    <t>=GEOMEAN(B217:B219,B221:B228)</t>
  </si>
  <si>
    <t>=GEOMEAN(B217:B219,B222:B228)</t>
  </si>
  <si>
    <t>返回数据集合的调和平均值.调和平均值与倒数的算术平均值互为倒数.</t>
  </si>
  <si>
    <t>HARMEAN(number1,number2,...)</t>
  </si>
  <si>
    <t>HARMEAN(单元格或单元格区域)</t>
  </si>
  <si>
    <t>是用于计算平均值的1到30个参数,也可以不使用这种用逗号分隔参数的形式,而用单个数组或数组引用的形式.</t>
  </si>
  <si>
    <t>每男每女家居生活馆 发放打折券所需时间</t>
  </si>
  <si>
    <t>时间/分</t>
  </si>
  <si>
    <t>每分钟售券数</t>
  </si>
  <si>
    <t>甲窗口</t>
  </si>
  <si>
    <t>乙窗口</t>
  </si>
  <si>
    <t>平均时间</t>
  </si>
  <si>
    <t>-</t>
  </si>
  <si>
    <t>=HARMEAN(D318:D319)</t>
  </si>
  <si>
    <t>合计时间</t>
  </si>
  <si>
    <t>600张券发放时间(分)</t>
  </si>
  <si>
    <t>平均窗口</t>
  </si>
  <si>
    <t>窗口数</t>
  </si>
  <si>
    <t>返回给定数值集合的中值.中值是在一组数据中居于中间的数,即在这组数据中,有一半的数据比它大,有一半的数据比它小.</t>
  </si>
  <si>
    <t>MEDIAN(number1,number2,...)</t>
  </si>
  <si>
    <t>MEDIAN(单元格或单元格区域)</t>
  </si>
  <si>
    <t>要计算中值的1到30个数值.</t>
  </si>
  <si>
    <t>1.参数应为数字,或者是包含数字的名称、数组或引用.MicrosoftExcel会检查每一数组参数或引用中的所有数字.
2.如果数组或引用参数包含文本、逻辑值或空白单元格,则这些值将被忽略；但包含零值的单元格将计算在内.
3.如果参数集合中包含偶数个数字,函数MEDIAN将返回位于中间的两个数的平均值.</t>
  </si>
  <si>
    <t>中位数解释</t>
  </si>
  <si>
    <t>中位数</t>
  </si>
  <si>
    <t>中位数=(2+3)/2=2.5</t>
  </si>
  <si>
    <t>中位数:就是数值按顺序排序时,正好居中的数值.所求的中位数范围是偶数时,处于中央位置的数值就有两个,此时居中的两个数值的平均值就为中位数.</t>
  </si>
  <si>
    <t>每男每女家居生活馆 电话使用数</t>
  </si>
  <si>
    <t>使用次数</t>
  </si>
  <si>
    <t>=MEDIAN(C29:C38)</t>
  </si>
  <si>
    <t>平均数</t>
  </si>
  <si>
    <t>=AVERAGE(C29:C38)</t>
  </si>
  <si>
    <t>MODE(number1,number2,...)</t>
  </si>
  <si>
    <t>MODE(单元格或单元格区域)</t>
  </si>
  <si>
    <t>是用于众数计算的1到30个参数,也可以使用单一数组（即对数组区域的引用）来代替由逗号分隔的参数.</t>
  </si>
  <si>
    <t>1.参数可以是数字,或者是包含数字的名称、数组或引用.
2.如果数组或引用参数包含文本、逻辑值或空白单元格,则这些值将被忽略；但包含零值的单元格将计算在内.
3.如果数据集合中不含有重复的数据,则MODE数返回错误值N/A.</t>
  </si>
  <si>
    <t>众数</t>
  </si>
  <si>
    <t>=MODE(C119:C128)</t>
  </si>
  <si>
    <t>=AVERAGE(C119:C128)</t>
  </si>
  <si>
    <t>返回有众数为在前面的数值.</t>
  </si>
  <si>
    <t>返回一组值中的最大值.</t>
  </si>
  <si>
    <t>找最大的数字</t>
  </si>
  <si>
    <t>MAX(number1,number2,...)</t>
  </si>
  <si>
    <t>MAX(单元格或单元格区域)</t>
  </si>
  <si>
    <t>是要从中找出最大值的1到30个数字参数.</t>
  </si>
  <si>
    <t>1.可以将参数指定为数字、空白单元格、逻辑值或数字的文本表达式.如果参数为错误值或不能转换成数字的文本,将产生错误.
2.如果参数为数组或引用,则只有数组或引用中的数字将被计算.数组或引用中的空白单元格、逻辑值或文本将被忽略.如果逻辑值和文本不能忽略,请使用函数MAXA来代替.
3.如果参数不包含数字,函数MAX返回0(零).</t>
  </si>
  <si>
    <t>返回参数列表中的最大值.文本值和逻辑值(如TRUE和FALSE)也作为数字来计算.</t>
  </si>
  <si>
    <t>找数据中最大的数字</t>
  </si>
  <si>
    <t>MAXA(value1,value2,...)</t>
  </si>
  <si>
    <t>MAXA(单元格或单元格区域)</t>
  </si>
  <si>
    <t>为需要从中查找最大数值的1到30个参数.</t>
  </si>
  <si>
    <t>函数MAXA与函数MINA相似.有关详细信息,请参阅函数MINA的示例.</t>
  </si>
  <si>
    <t>1.参数可以为数字、空白单元格、逻辑值或数字的文本表达式.如果参数为错误值,则会产生错误.如果在计算中不能包含文本或逻辑值,请使用MAX工作表函数来代替.
2.如果参数为数组或引用,则只使用数组或引用中的数值.忽略数组或引用中的空白单元格和文本值.
3.包含TRUE的参数作为1计算；包含文本或FALSE的参数作为0计算.
4.如果参数不包含任何值,函数MAXA返回0.</t>
  </si>
  <si>
    <t>=MAXA(C119:C134)</t>
  </si>
  <si>
    <t>返回一组值中的最小值.</t>
  </si>
  <si>
    <t>找最小的数字</t>
  </si>
  <si>
    <t>MIN(number1,number2,...)</t>
  </si>
  <si>
    <t>MIN(单元格或单元格区域)</t>
  </si>
  <si>
    <t>是要从中找出最小值的1到30个数字参数.</t>
  </si>
  <si>
    <t>1.可以将参数指定为数字、空白单元格、逻辑值或数字的文本表达式.如果参数为错误值或不能转换成数字的文本,将产生错误.
2.如果参数是数组或引用,则函数MIN仅使用其中的数字,空白单元格,逻辑值、文本或错误值将被忽略.如果逻辑值和文本字符串不能忽略,请使用MINA函数.
3.如果参数中不含数字,则函数MIN返回0.</t>
  </si>
  <si>
    <t>=MIN(C219:C228)</t>
  </si>
  <si>
    <t>返回参数列表中的最小值.文本值和逻辑值(如TRUE和FALSE)也作为数字来计算.</t>
  </si>
  <si>
    <t>找数据中最小的数字</t>
  </si>
  <si>
    <t>MINA(value1,value2,...)</t>
  </si>
  <si>
    <t>MINA(单元格或单元格区域)</t>
  </si>
  <si>
    <t>为需要从中查找最小值的1到30个参数.</t>
  </si>
  <si>
    <t>1.参数可以为数字、空白单元格、逻辑值或数字的文本表达式.如果参数为错误值,则会产生错误.如果在计算中不能包含文本或逻辑值,请使用MIN工作表函数来代替.
2.如果参数为数组或引用,则只使用其中的数值.数组或引用中的空白单元格和文本值将被忽略.
3.包含TRUE的参数作为1计算；包含文本或FALSE的参数作为0计算.
4.如果参数不包含任何值,函数MINA返回0.</t>
  </si>
  <si>
    <t>=MINA(C319:C328)</t>
  </si>
  <si>
    <t>返回数据集中第k个最大值.使用此函数可以根据相对标准来选择数值.例如,可以使用函数LARGE得到第一名、第二名或第三名的得分.</t>
  </si>
  <si>
    <t>LARGE(array,k)</t>
  </si>
  <si>
    <t>LARGE(查找的区域,指定要找第几大)</t>
  </si>
  <si>
    <t>为需要从中选择第k个最大值的数组或数据区域.</t>
  </si>
  <si>
    <t>K</t>
  </si>
  <si>
    <t>为返回值在数组或数据单元格区域中的位置(从大到小排).</t>
  </si>
  <si>
    <t>1.如果数组为空,函数LARGE返回错误值#NUM!.
2.如果k≤0或k大于数据点的个数,函数LARGE返回错误值#NUM!.
3.如果区域中数据点的个数为n,则函数LARGE(array,1)返回最大值,函数LARGE(array,n)返回最小值.</t>
  </si>
  <si>
    <t>销售排名</t>
  </si>
  <si>
    <t>销售金额</t>
  </si>
  <si>
    <t>说明:直接输入名次.</t>
  </si>
  <si>
    <t xml:space="preserve">说明:引用单元格.  </t>
  </si>
  <si>
    <t>注:有相同的名次也无"名次"无关.上表,第三第四名数值一样.</t>
  </si>
  <si>
    <t>返回数据集中第k个最小值.使用此函数可以返回数据集中特定位置上的数值.</t>
  </si>
  <si>
    <t>SMALL(array,k)</t>
  </si>
  <si>
    <t>SMALL(查找的区域,指定要找第几小)</t>
  </si>
  <si>
    <t>为需要找到第k个最小值的数组或数字型数据区域.</t>
  </si>
  <si>
    <t>为返回的数据在数组或数据区域里的位置(从小到大).</t>
  </si>
  <si>
    <t>1.如果array为空,函数SMALL返回错误值#NUM!.
2.如果k≤0或k超过了数据点个数,函数SMALL返回错误值#NUM!.
3.如果n为数组中的数据点个数,则SMALL(array,1)等于最小值,SMALL(array,n)等于最大值.</t>
  </si>
  <si>
    <t>倒算排名</t>
  </si>
  <si>
    <t xml:space="preserve">说明:引用单元格. </t>
  </si>
  <si>
    <t>计算位置(排位)</t>
  </si>
  <si>
    <t>返回一个数字在数字列表中的排位.数字的排位是其大小与列表中其他值的比值(如果列表已排过序,则数字的排位就是它当前的位置).</t>
  </si>
  <si>
    <t>算出单元格的数值在指定范围中处于哪个位置</t>
  </si>
  <si>
    <t>RANK(number,ref,order)</t>
  </si>
  <si>
    <t>RANK(要判断的单元格,查找的区域,1为最小数排第一0为最大数排第一)</t>
  </si>
  <si>
    <t>为需要找到排位的数字.</t>
  </si>
  <si>
    <t>Ref</t>
  </si>
  <si>
    <t>为数字列表数组或对数字列表的引用.Ref中的非数值型参数将被忽略.</t>
  </si>
  <si>
    <t>Order</t>
  </si>
  <si>
    <t>为一数字,指明排位的方式.如果order为0(零)或省略,MicrosoftExcel对数字的排位是基于ref为按照降序排列的列表.如果order不为零,MicrosoftExcel对数字的排位是基于ref为按照升序排列的列表.</t>
  </si>
  <si>
    <t>1.函数RANK对重复数的排位相同.但重复数的存在将影响后续数值的排位.例如,在一列按升序排列的整数中,如果整数10出现两次,其排位为5,则11的排位为7(没有排位为6的数值).
2.由于某些原因,用户可能使用考虑重复数字的排位定义.在前面的示例中,用户可能要将整数10的排位改为5.5.这可通过将下列修正因素添加到按排位返回的值来实现.该修正因素对于按照升序计算排位(顺序=非零值)或按照降序计算排位(顺序=0或被忽略)的情况都是正确的.
3.重复数排位的修正因素=[COUNT(ref)+1–RANK(number,ref,0)–RANK(number,ref,1)]/2.</t>
  </si>
  <si>
    <t>从小往大</t>
  </si>
  <si>
    <t>从大往小</t>
  </si>
  <si>
    <t>注:有相同的名次,即下一个名次值跳过.上表,两个第六名,故无第七名.</t>
  </si>
  <si>
    <t>以一列垂直数组返回某个区域中数据的频率分布.由于函数FREQUENCY返回一个数组,所以必须以数组公式的形式输入.</t>
  </si>
  <si>
    <t>FREQUENCY(data_array,bins_array)</t>
  </si>
  <si>
    <t>FREQUENCY(数据范围,指定范围)</t>
  </si>
  <si>
    <t>Data_array</t>
  </si>
  <si>
    <t>为一数组或对一组数值的引用,用来计算频率.如果data_array中不包含任何数值,函数FREQUENCY返回零数组.</t>
  </si>
  <si>
    <t>Bins_array</t>
  </si>
  <si>
    <t>为间隔的数组或对间隔的引用,该间隔用于对data_array中的数值进行分组.如果bins_array中不包含任何数值,函数FREQUENCY返回data_array中元素的个数.</t>
  </si>
  <si>
    <t>区间</t>
  </si>
  <si>
    <t>频度</t>
  </si>
  <si>
    <t>{=FREQUENCY($C$19:$C$30,$E$19:$E$23)}</t>
  </si>
  <si>
    <t>返回区域中数值的第K个百分点的值.可以使用此函数来建立接受阈值.</t>
  </si>
  <si>
    <t>PERCENTILE(array,"比率"对应位置上的数值)</t>
  </si>
  <si>
    <t>PERCENTILE(查找的区域,k)</t>
  </si>
  <si>
    <t>为定义相对位置的数组或数据区域.</t>
  </si>
  <si>
    <t>0到1之间的百分点值,包含0和1.</t>
  </si>
  <si>
    <t>1.如果array为空或其数据点超过8,191个,函数PERCENTILE返回错误值#NUM!.
2.如果k为非数字型,函数PERCENTILE返回错误值#VALUE!.
3.如果k&lt;0或k&gt;1,函数PERCENTILE返回错误值#NUM!.
4.如果k不是1/(n-1)的倍数,函数PERCENTILE使用插值法来确定第k个百分点的值.</t>
  </si>
  <si>
    <t>进入高分的10%的成绩</t>
  </si>
  <si>
    <t>=PERCENTILE(C19:C30,0.9)</t>
  </si>
  <si>
    <t>也就是计算出要想进入高分10%以内,成绩就必须达到84.6分</t>
  </si>
  <si>
    <t>返回数据集的四分位数.四分位数通常用于在销售额和测量数据中对总体进行分组.</t>
  </si>
  <si>
    <t>QUARTILE(array,quart)</t>
  </si>
  <si>
    <t>QUARTILE(数字区域,指定在哪个位置)</t>
  </si>
  <si>
    <t>为需要求得四分位数值的数组或数字型单元格区域.</t>
  </si>
  <si>
    <t>Quart</t>
  </si>
  <si>
    <t>决定返回哪一个四分位值.</t>
  </si>
  <si>
    <t>1.如果数组为空,函数QUARTILE返回错误值#NUM!.
2.如果quart不为整数,将被截尾取整.
3.如果quart&lt;0或quart&gt;4,函数QUARTILE返回错误值#NUM!.
4.当quart分别等于0、2和4时,函数MIN、MEDIAN和MAX返回的值与函数QUARTILE返回的值相同.</t>
  </si>
  <si>
    <t>quart参数的指定所求位置</t>
  </si>
  <si>
    <t>求0%的位置(最小值)</t>
  </si>
  <si>
    <t>求25%的位置(第1四分位)</t>
  </si>
  <si>
    <t>求50%的位置(第2四分位;该值等同于中央值)</t>
  </si>
  <si>
    <t>求75%的位置(第3四分位)</t>
  </si>
  <si>
    <t>求100%的位置(最大值)</t>
  </si>
  <si>
    <t>进入低分的25%的成绩</t>
  </si>
  <si>
    <t>=QUARTILE(C124:C135,1)</t>
  </si>
  <si>
    <t>返回特定数值在一个数据集中的百分比排位.此函数可用于查看特定数据在数据集中所处的位置.</t>
  </si>
  <si>
    <t>PERCENTRANK(array,x,significance)</t>
  </si>
  <si>
    <t>PERCENTRANK(数字区域,x,可选项)</t>
  </si>
  <si>
    <t>为定义相对位置的数组或数字区域.</t>
  </si>
  <si>
    <t>为数组中需要得到其排位的值.</t>
  </si>
  <si>
    <t>Significance</t>
  </si>
  <si>
    <t>为可选项,表示返回的百分数值的有效位数.如果省略,函数PERCENTRANK保留3位小数.</t>
  </si>
  <si>
    <t>1.如果数组为空,函数PERCENTRANK返回错误值#NUM!.
2.如果significane&lt;1,函数PERCENTRANK返回错误值#NUM!.
3.如果数组里没有与x相匹配的值,函数PERCENTRANK将进行插值以返回正确的百分比排位.</t>
  </si>
  <si>
    <t xml:space="preserve">  每男每女家居生活馆</t>
  </si>
  <si>
    <t>比率显示的顺序</t>
  </si>
  <si>
    <t>=PERCENTRANK($C$218:$C$229,C219,)</t>
  </si>
  <si>
    <t>计算数值基于给定样本的方差.</t>
  </si>
  <si>
    <t>计算数值的无偏方差</t>
  </si>
  <si>
    <t>VAR(number1,number2,...)</t>
  </si>
  <si>
    <t>VAR(计算区域)</t>
  </si>
  <si>
    <t>为对应于总体样本的1到30个参数.</t>
  </si>
  <si>
    <t>1.函数VAR假设其参数是样本总体中的一个样本.如果数据为样本总体,则应使用函数VARP来计算方差.
2.逻辑值(TRUE和FALSE)和文本将被忽略.如果不能忽略逻辑值和文本,请使用VARA工作表函数.
3.函数 VAR 的计算公式如下： 
其中 x 为样本平均值 AVERAGE(number1,number2,…)，n 为样本大小。</t>
  </si>
  <si>
    <t>无偏方差</t>
  </si>
  <si>
    <t>=VAR(C19:C30)</t>
  </si>
  <si>
    <t>计算基于给定样本的方差.不仅数字,文本值和逻辑值(如TRUE和FALSE)也将计算在内.</t>
  </si>
  <si>
    <t>所有数据计算无偏方差</t>
  </si>
  <si>
    <t>VARA(value1,value2,...)</t>
  </si>
  <si>
    <t>VARA(计算区域)</t>
  </si>
  <si>
    <t>对应于总体的一个样本的1到30个参数.</t>
  </si>
  <si>
    <t>1.函数VARA假设参数为总体的一个样本.如果数据代表的是样本总体,则必须使用函数VARPA来计算方差.
2.包含TRUE的参数作为1计算；包含文本或FALSE的参数作为0计算.如果在计算中不能包含文本值或逻辑值,请使用VAR工作表函数来代替.
3.函数 VARA 的计算公式如下:
其中 x 是样本平均值AVERAGE(value1,value2,…)且n是样本大小。</t>
  </si>
  <si>
    <t>=VARA(C118:C129)</t>
  </si>
  <si>
    <t>出差</t>
  </si>
  <si>
    <t>计算基于整个样本总体的方差.</t>
  </si>
  <si>
    <t>VARP(number1,number2,...)</t>
  </si>
  <si>
    <t>VARP(计算区域)</t>
  </si>
  <si>
    <t>为对应于样本总体的1到30个参数.</t>
  </si>
  <si>
    <t>1.函数VARP假设其参数为样本总体.如果数据只是代表样本总体中的一个样本,请使用函数VAR计算方差.
2.函数VARP的计算公式如下：
其中x为样本平均值AVERAGE(number1,number2,…),n为样本大小.
3.逻辑值(TRUE和FALSE)和文本将被忽略.如果不能忽略逻辑值和文本,请使用VARPA工作表函数.</t>
  </si>
  <si>
    <t>方差</t>
  </si>
  <si>
    <t>=VARP(C218:C229)</t>
  </si>
  <si>
    <t>计算基于整个样本总体的方差.不仅数字,文本值和逻辑值(如TRUE和FALSE)也将计算在内.</t>
  </si>
  <si>
    <t>所有数据计算方差</t>
  </si>
  <si>
    <t>VARPA(value1,value2,...)</t>
  </si>
  <si>
    <t>VARPA(计算区域)</t>
  </si>
  <si>
    <t>1.函数VARPA假设参数即为样本总体.如果数据代表的是总体的一个样本,则必须使用函数VARA来估计方差.
2.包含TRUE的参数作为1计算；包含文本或FALSE的参数作为0计算.如果在计算中不能包含文本值或逻辑值,请使用VARP工作表函数来代替.
3.函数VARPA的计算公式如下:
其中x是样本平均值AVERAGE(value1,value2,…)且n是样本大小.</t>
  </si>
  <si>
    <t>=VARPA(C319:C330)</t>
  </si>
  <si>
    <t>估算样本的标准偏差.标准偏差反映相对于平均值(mean)的离散程度.</t>
  </si>
  <si>
    <t>STDEV(number1,number2,...)</t>
  </si>
  <si>
    <t>STDEV(计算区域)</t>
  </si>
  <si>
    <t>为对应于总体样本的1到30个参数.也可以不使用这种用逗号分隔参数的形式,而用单个数组或对数组的引用.</t>
  </si>
  <si>
    <t xml:space="preserve">1.函数STDEV假设其参数是总体中的样本.如果数据代表全部样本总体,则应该使用函数STDEVP来计算标准偏差.
2.此处标准偏差的计算使用"无偏差"或"n-1"方法.
3.函数STDEV的计算公式如下：
其中x为样本平均值AVERAGE(number1,number2,…),n为样本大小.
4.忽略逻辑值(TRUE或FALSE)和文本.如果不能忽略逻辑值和文本,请使用STDEVA工作表函数.
</t>
  </si>
  <si>
    <t>标准偏差</t>
  </si>
  <si>
    <t>=STDEV(C19:C30)</t>
  </si>
  <si>
    <t>估算基于给定样本的标准偏差.标准偏差反映数值相对于平均值(mean)的离散程度.文本值和逻辑值(如TRUE或FALSE)也将计算在内.</t>
  </si>
  <si>
    <t>STDEVA(value1,value2,...)</t>
  </si>
  <si>
    <t>STDEVA(计算区域)</t>
  </si>
  <si>
    <t>作为总体的一个样本的1到30个参数.也可以不使用这种用逗号分隔参数的形式,而用单个数组或对数组的引用.</t>
  </si>
  <si>
    <t xml:space="preserve">1.函数STDEVA假设参数为总体的一个样本.如果数据代表的是样本总体,则必须使用函数STDEVPA来计算标准偏差.
2.包含TRUE的参数作为1来计算；包含文本或FALSE的参数作为0来计算.如果在计算中不能包含文本值或逻辑值,请使用STDEV工作表函数来代替.
3.此处标准偏差的计算使用"无偏差"或"n-1"方法.
4.函数STDEVA的计算公式如下： </t>
  </si>
  <si>
    <t>=STDEVA(C119:C130)</t>
  </si>
  <si>
    <t>返回以参数形式给出的整个样本总体的标准偏差.标准偏差反映相对于平均值(mean)的离散程度.</t>
  </si>
  <si>
    <t>STDEVP(number1,number2,...)</t>
  </si>
  <si>
    <t>STDEVP(计算区域)</t>
  </si>
  <si>
    <t>为对应于样本总体的1到30个参数.也可以不使用这种用逗号分隔参数的形式,而用单个数组或对数组的引用.</t>
  </si>
  <si>
    <t>文本和逻辑值(TRUE或FALSE)将被忽略.如果不能忽略逻辑值和文本,则请使用STDEVPA工作表函数.</t>
  </si>
  <si>
    <t>1.函数STDEVP假设其参数为整个样本总体.如果数据代表样本总体中的样本,应使用函数STDEV来计算标准偏差.
2.对于大样本容量,函数STDEV和STDEVP计算结果大致相等.
3.此处标准偏差的计算使用"有偏差"和"n"方法.
4.函数STDEVP的计算公式如下:
其中x为样本平均值AVERAGE(number1,number2,…),n为样本大小.</t>
  </si>
  <si>
    <t>=STDEVP(C218:C229)</t>
  </si>
  <si>
    <t>返回以参数形式给出的整个样本总体的标准偏差,包含文本和逻辑值.标准偏差反映数值相对于平均值(mean)的离散程度.</t>
  </si>
  <si>
    <t>STDEVPA(value1,value2,...)</t>
  </si>
  <si>
    <t>STDEVPA(计算区域)</t>
  </si>
  <si>
    <t>作为样本总体的1到30个参数.为样本总体的1到30个参数.也可以不使用这种用逗号分隔参数的形式,而用单个数组或对数组的引用.</t>
  </si>
  <si>
    <t>1.函数STDEVPA假设参数即为样本总体.如果数据代表的是总体的一个样本,则必须使用函数STDEVA来估算标准偏差.
2.包含TRUE的参数作为1计算；包含文本或FALSE的参数作为0计算.如果在计算中不能包含文本值或逻辑值,请使用STDEVP工作表函数来代替.
3.对于大样本容量,函数STDEVA和函数STDEVPA的返回值大致相等.
4.此处标准偏差的计算使用"有偏差"和"n"方法.
5.函数 STDEVPA 的计算公式如下:
其中x是样本平均值AVERAGE(value1,value2,…)且n是样本大小.</t>
  </si>
  <si>
    <t>=STDEVPA(C319:C330)</t>
  </si>
  <si>
    <t>返回一组数据与其均值的绝对偏差的平均值,ADEDEV用于评测这组数据的离散度.</t>
  </si>
  <si>
    <t>AVEDEV(number1,number2,...)</t>
  </si>
  <si>
    <t>AVEDEV(计算区域)</t>
  </si>
  <si>
    <t>用于计算绝对偏差平均值的一组参数,参数的个数可以有1到30个,可以用单一数组(即对数组区域的引用)代替用逗号分隔的参数.</t>
  </si>
  <si>
    <t>1.参数必须是数字,或者是包含数字的名称、数组或引用.
2.如果数组或引用参数包含文本、逻辑值或空白单元格,则这些值将被忽略；但包含零值的单元格将计算在内.
3.平均偏差的公式为：
输入数据所使用的计量单位将会影响函数AVEDEV的计算结果.</t>
  </si>
  <si>
    <t>=AVEDEV(C19:C30)</t>
  </si>
  <si>
    <t>回数据点与各自样本平均值偏差的平方和.</t>
  </si>
  <si>
    <t>DEVSQ(number1,number2,...)</t>
  </si>
  <si>
    <t>DEVSQ(计算区域)</t>
  </si>
  <si>
    <t>为1到30个需要计算偏差平方和的参数,也可以不使用这种用逗号分隔参数的形式,而用单个数组或对数组的引用.</t>
  </si>
  <si>
    <t>1.参数可以是数字,或者是包含数字的名称、数组或引用.
2.如果数组或引用参数包含文本、逻辑值或空白单元格,则这些值将被忽略；但包含零值的单元格将计算在内.
3.偏差平方和的计算公式为:</t>
  </si>
  <si>
    <t>=DEVSQ(C118:C129)</t>
  </si>
  <si>
    <t>返回以mean为平均值,以standard-dev为标准偏差的分布的正态化数值.</t>
  </si>
  <si>
    <t>STANDARDIZE(x,mean,standard_dev)</t>
  </si>
  <si>
    <t>STANDARDIZE(目标,平均值,标准偏差)</t>
  </si>
  <si>
    <t>为需要进行正态化的数值.</t>
  </si>
  <si>
    <t>Mean</t>
  </si>
  <si>
    <t>分布的算术平均值.</t>
  </si>
  <si>
    <t>Standard_dev</t>
  </si>
  <si>
    <t>分布的标准偏差.</t>
  </si>
  <si>
    <t>1.如果standard_dev≤0,函数STANDARDIZE返回错误值#NUM!.
2.正态化数值的计算公式如下:</t>
  </si>
  <si>
    <t>标准化变量</t>
  </si>
  <si>
    <t>=STANDARDIZE(C19,C31,C32)</t>
  </si>
  <si>
    <t>平均值</t>
  </si>
  <si>
    <t>返回数据集的峰值.峰值反映与正态分布相比某一分布的尖锐度或平坦度.正峰值表示相对尖锐的分布.负峰值表示相对平坦的分布.</t>
  </si>
  <si>
    <t>KURT(number1,number2,...)</t>
  </si>
  <si>
    <t>KURT(计算区域)</t>
  </si>
  <si>
    <t>是用于计算峰值的1到30个参数.也可以不使用这种用逗号分隔参数的形式,而用单个数组或数组引用的形式.</t>
  </si>
  <si>
    <t>1.参数可以是数字,或者是包含数字的名称、数组或引用.
2.如果数组或引用参数包含文本、逻辑值或空白单元格,则这些值将被忽略；但包含零值的单元格将计算在内.
3.如果数据点少于4个,或样本标准偏差等于0,函数KURT返回错误值#DIV/0!.
4.峰值的计算公式如下:
式中:S为样本的标准偏差.</t>
  </si>
  <si>
    <t>峰度</t>
  </si>
  <si>
    <t>=KURT(C118:C129)</t>
  </si>
  <si>
    <t>返回分布的偏斜度.偏斜度反映以平均值为中心的分布的不对称程度.正偏斜度表示不对称部分的分布更趋向正值.负偏斜度表示不对称部分的分布更趋向负值.</t>
  </si>
  <si>
    <t>SKEW(number1,number2,...)</t>
  </si>
  <si>
    <t>SKEW(计算区域)</t>
  </si>
  <si>
    <t>为需要计算偏斜度的1到30个参数.也可以不用这种用逗号分隔参数的形式,而用单个数组或对数组的引用.</t>
  </si>
  <si>
    <t>1.参数可以是数字,或者是包含数字的名称、数组或引用.
2.如果数组或引用参数包含文本、逻辑值或空白单元格,则这些值将被忽略；但包含零值的单元格将计算在内.
3.如果数据点个数少于3个,或样本标准偏差为零,函数SKEW返回错误值#DIV/0!.
4.偏斜度的计算公式定义如下:</t>
  </si>
  <si>
    <t>偏斜度</t>
  </si>
  <si>
    <t>=SKEW(C218:C229)</t>
  </si>
  <si>
    <t>根据已有的数值计算或预测未来值.此预测值为基于给定的x值推导出的y值.已知的数值为已有的x值和y值,再利用线性回归对新值进行预测.可以使用该函数对未来销售额、库存需求或消费趋势进行预测.</t>
  </si>
  <si>
    <t>使用回归曲线进行预测</t>
  </si>
  <si>
    <t>FORECAST(x,known_y's,known_x's)</t>
  </si>
  <si>
    <t>FORECAST(要预测的目标,原先的数据,要预测目标相同的数据)</t>
  </si>
  <si>
    <t>为需要进行预测的数据点.</t>
  </si>
  <si>
    <t>Known_y's</t>
  </si>
  <si>
    <t>为因变量数组或数据区域.</t>
  </si>
  <si>
    <t>Known_x's</t>
  </si>
  <si>
    <t>为自变量数组或数据区域.</t>
  </si>
  <si>
    <t>1.如果x为非数值型,函数FORECAST返回错误值#VALUE!.
2.如果known_y's和known_x's为空或含有不同个数的数据点,函数FORECAST返回错误值#N/A.
3.如果known_x's的方差为零,函数FORECAST返回错误值#DIV/0!.
4.函数FORECAST的计算公式为a+bx,式中:
且其中x和y为样本平均数AVERAGE(known_x's)和AVERAGE(known_y's).</t>
  </si>
  <si>
    <t>每男每女家居生活馆 某员工销售报表</t>
  </si>
  <si>
    <t>=FORECAST(B24,C19:C23,B19:B23)</t>
  </si>
  <si>
    <t>上面为预测值</t>
  </si>
  <si>
    <t>返回一条线性回归拟合线的值.即找到适合已知数组known_y's和known_x's的直线(用最小二乘法),并返回指定数组new_x's在直线上对应的y值.</t>
  </si>
  <si>
    <t>TREND(known_y's,known_x's,new_x's,const)</t>
  </si>
  <si>
    <t>TREND(原先的数据,要预测目标相同的数据,要预测的目标)</t>
  </si>
  <si>
    <t>是关系表达式y=mx+b中已知的y值集合.如果数组known-y's在单独一行中,则known-x's的每一行被视为一个独立的变量.如果数组known_y's在单独一列中,则known_x's的每一列被视为一个独立的变量.</t>
  </si>
  <si>
    <t>是关系表达式y=mx+b中已知的可选x值集合.数组known_x's可以包含一组或多组变量.如果只用到一个变量,只要known_y's和known_x's维数相同,它们可以是任何形状的区域.如果用到多个变量,known_y's必须为向量(即必须为一行或一列).如果省略known_x's,则假设该数组为{1,2,3,...},其大小与known_y's相同.</t>
  </si>
  <si>
    <t>New_x's</t>
  </si>
  <si>
    <t>为需要函数TREND返回对应y值的新x值.New_x's与known_x's一样,每个独立变量必须为单独的一行(或一列).因此,如果known_y's是单列的,known_x's和new_x's应该有同样的列数.如果known_y's是单行的,known_x's和new_x's应该有同样的行数.如果省略new_x's,将假设它和known_x's一样.如果known_x's和new_x's都省略,将假设它们为数组{1,2,3,...},大小与known_y's相同.</t>
  </si>
  <si>
    <t>Const</t>
  </si>
  <si>
    <t>为一逻辑值,用于指定是否将常量b强制设为0.如果const为TRUE或省略,b将按正常计算.如果const为FALSE,b将被设为0(零),m将被调整以使y=mx.</t>
  </si>
  <si>
    <t>1.有关MicrosoftExcel对数据进行直线拟合的详细信息,请参阅LINEST函数.
2.可以使用TREND函数计算同一变量的不同乘方的回归值来拟合多项式曲线.例如,假设A列包含y值,B列含有x值.可以在C列中输入x^2,在D列中输入x^3,等等,然后根据A列,对B列到D列进行回归计算.
3.对于返回结果为数组的公式,必须以数组公式的形式输入.
4.当为参数(如known_x's)输入数组常量时,应当使用逗号分隔同一行中的数据,用分号分隔不同行中的数据.</t>
  </si>
  <si>
    <t>{=TREND(C119:C123,B119:B123,B124:B126)}</t>
  </si>
  <si>
    <t>上面三行为预测值</t>
  </si>
  <si>
    <t>返回根据known_y's和known_x's中的数据点拟合的线性回归直线的斜率.斜率为直线上任意两点的重直距离与水平距离的比值,也就是回归直线的变化率.</t>
  </si>
  <si>
    <t>SLOPE(known_y's,known_x's)</t>
  </si>
  <si>
    <t>SLOPE(因变量,自变量)</t>
  </si>
  <si>
    <t>为数字型因变量数据点数组或单元格区域.</t>
  </si>
  <si>
    <t>为自变量数据点集合.</t>
  </si>
  <si>
    <t xml:space="preserve">1.参数可以是数字,或者是包含数字的名称、数组或引用.
2.如果数组或引用参数包含文本、逻辑值或空白单元格,则这些值将被忽略；但包含零值的单元格将计算在内.
3.如果known_y's和known_x's为空或其数据点个数不同,函数SLOPE返回错误值#N/A.
4.回归直线的斜率计算公式如下:
其中x和y是样本平均值AVERAGE(known_x's)和AVERAGE(known_y's).
</t>
  </si>
  <si>
    <t>每男每女家居生活馆 某员工</t>
  </si>
  <si>
    <t>=SLOPE(C218:C229,B218:B229)</t>
  </si>
  <si>
    <t>利用现有的x值与y值计算直线与y轴的截距.截距为穿过已知的known_x's和known_y's数据点的线性回归线与y轴的交点.当自变量为0(零)时,使用INTERCEPT函数可以决定因变量的值</t>
  </si>
  <si>
    <t>INTERCEPT(known_y's,known_x's)</t>
  </si>
  <si>
    <t>INTERCEPT(为因变的观察值或数据集合,为自变的观察值或数据集合)</t>
  </si>
  <si>
    <t>为因变的观察值或数据集合.</t>
  </si>
  <si>
    <t>为自变的观察值或数据集合.</t>
  </si>
  <si>
    <t>1.参数可以是数字,或者是包含数字的名称、数组或引用.
2.如果数组或引用参数包含文本、逻辑值或空白单元格,则这些值将被忽略；但包含零值的单元格将计算在内.
3.如果known_y's和known_x's所包含的数据点个数不相等或不包含任何数据点,则函数INTERCEPT返回错误值#N/A.
4.回归线a的截距公式为：公式中斜率b计算如下：
其中x和y为样本平均数AVERAGE(known_x's)和AVERAGE(known_y's).</t>
  </si>
  <si>
    <t>海拔</t>
  </si>
  <si>
    <t>高度差</t>
  </si>
  <si>
    <t>气温</t>
  </si>
  <si>
    <t>目标点</t>
  </si>
  <si>
    <t>预估气温</t>
  </si>
  <si>
    <t>=INTERCEPT(D317:D321,C317:C321)</t>
  </si>
  <si>
    <t>使用最小二乘法对已知数据进行最佳直线拟合,并返回描述此直线的数组.因为此函数返回数值数组,所以必须以数组公式的形式输入.</t>
  </si>
  <si>
    <t>LINEST(known_y's,known_x's,const,stats)</t>
  </si>
  <si>
    <t>LINEST(Y,X,逻辑值,逻辑值)</t>
  </si>
  <si>
    <t>是关系表达式y=mx+b中已知的y值集合.</t>
  </si>
  <si>
    <t>是关系表达式y=mx+b中已知的可选x值集合.</t>
  </si>
  <si>
    <t>为一逻辑值,用于指定是否将常量b强制设为0.</t>
  </si>
  <si>
    <t>Stats</t>
  </si>
  <si>
    <t>为一逻辑值,指定是否返回附加回归统计值.</t>
  </si>
  <si>
    <t>直线的公式为:y=mx+bor    y=m1x1+m2x2+...+b(如果有多个区域的x值)
式中,因变量y是自变量x的函数值.M值是与每个x值相对应的系数,b为常量.注意y、x和m可以是向量.LINEST函数返回的数组为{mn,mn-1,...,m1,b}.LINEST函数还可返回附加回归统计值.</t>
  </si>
  <si>
    <t>系数</t>
  </si>
  <si>
    <t>{=LINEST(D418:D422,C418:C422,TRUE,FALSE)}</t>
  </si>
  <si>
    <t>返回通过线性回归法计算每个x的y预测值时所产生的标准误差.标准误差用来度量根据单个x变量计算出的y预测值的误差量.</t>
  </si>
  <si>
    <t>STEYX(known_y's,known_x's)</t>
  </si>
  <si>
    <t>STEYX(因变量,自变量)</t>
  </si>
  <si>
    <t>为因变量数据点数组或区域.</t>
  </si>
  <si>
    <t>为自变量数据点数组或区域.</t>
  </si>
  <si>
    <t>1.参数必须是数字,或者是包含数字的名称、数组或引用.
2.如果数组或引用参数包含文本、逻辑值或空白单元格,则这些值将被忽略；但包含零值的单元格将计算在内.
3.如果known_y's和known_x's为空或其数据点个数不同,函数STEYX返回错误值#N//A.
4.预测值 y 的标准误差计算公式如下:
其中x和y是样本平均值AVERAGE(known_x's)和AVERAGE(known_y's),且n是样本大小.</t>
  </si>
  <si>
    <t>标准误差</t>
  </si>
  <si>
    <t>=STEYX(C518:C522,B518:B522)</t>
  </si>
  <si>
    <t>返回根据known_y's和known_x's中数据点计算得出的Pearson乘积矩相关系数的平方.</t>
  </si>
  <si>
    <t>RSQ(known_y's,known_x's)</t>
  </si>
  <si>
    <t>RSQ(数据区域Y,数据区域X)</t>
  </si>
  <si>
    <t>为数组或数据点区域.</t>
  </si>
  <si>
    <t>有关详细信息,请参阅函数REARSON.R平方值可以解释为y方差与x方差的比例.</t>
  </si>
  <si>
    <t xml:space="preserve">1.参数可以是数字,或者是包含数字的名称、数组或引用.
2.如果数组或引用参数包含文本、逻辑值或空白单元格,则这些值将被忽略；但包含零值的单元格将计算在内.
3.如果known_y's和known_x's为空或其数据点个数不同,函数RSQ返回错误值#N/A.
4.Pearson乘积矩相关系数r的计算公式如下:
其中x和y为样本平均数AVERAGE(known_x's)和AVERAGE(known_y's).
RSQ返回r2,即相关系数的平方.
</t>
  </si>
  <si>
    <t>=RSQ(C618:C622,B618:B622)</t>
  </si>
  <si>
    <t>根据现有的数据预测指数增长值.根据现有的x值和y值,GROWTH函数返回一组新的x值对应的y值.可以使用GROWTH工作表函数来拟合满足现有x值和y值的指数曲线.</t>
  </si>
  <si>
    <t>GROWTH(known_y's,known_x's,new_x's,const)</t>
  </si>
  <si>
    <t>GROWTH(已知的y值,已知的x值,新x值,逻辑值)</t>
  </si>
  <si>
    <t>满足指数回归拟合曲线y=b*m^x的一组已知的y值.</t>
  </si>
  <si>
    <t>满足指数回归拟合曲线y=b*m^x的一组已知的x值,为可选参数.</t>
  </si>
  <si>
    <t>为需要通过GROWTH函数返回的对应y值的一组新x值.</t>
  </si>
  <si>
    <t>为一逻辑值,用于指定是否将常数b强制设为1.</t>
  </si>
  <si>
    <t xml:space="preserve">1.如果数组known_y's在单独一列中,则known_x's的每一列被视为一个独立的变量.
2.如果数组known-y's在单独一行中,则known-x's的每一行被视为一个独立的变量.
3.如果known_y*s中的任何数为零或为负数,GROWTH函数将返回错误值#NUM!.
4.数组known_x's可以包含一组或多组变量.如果只用到一个变量,只要known_y's和known_x's维数相同,它们可以是任何形状的区域.如果用到多个变量,known_y's必须为向量(即必须为一行或一列的区域).
5.如果省略known_x's,则假设该数组为{1,2,3,...},其大小与known_y's相同.
6.New_x's与known_x's一样,对每个独立变量必须包括单独的一列(或一行).因此,如果known_y's是单列的,known_x's和new_x's应该有同样的列数.如果known_y's是单行的,known_x's和new_x's应该有同样的行数.
7.如果省略new_x's,则假设它和known_x's相同.
8.如果known_x's与new_x's都被省略,则假设它们为数组{1,2,3,...},其大小与known_y's相同.
9.如果const为TRUE或省略,b将按正常计算.
10.如果const为FALSE,b将设为1,m值将被调整以满足y=m^x.
11.对于返回结果为数组的公式,在选定正确的单元格个数后,必须以数组公式的形式输入.
12.当为参数(如known_x's)输入数组常量时,应当使用逗号分隔同一行中的数据,用分号分隔不同行中的数据.
</t>
  </si>
  <si>
    <t>每男每女家居生活馆 发放会员卡</t>
  </si>
  <si>
    <t>年</t>
  </si>
  <si>
    <t>张数</t>
  </si>
  <si>
    <t>此色块处为预测值</t>
  </si>
  <si>
    <t>{=GROWTH(C719:C723,B719:B723,B724:B725)}</t>
  </si>
  <si>
    <t>数组回车</t>
  </si>
  <si>
    <t>在回归分析中,计算最符合数据的指数回归拟合曲线,并返回描述该曲线的数值数组.因为此函数返回数值数组,故必须以数组公式的形式输入.</t>
  </si>
  <si>
    <t>LOGEST(known_y's,known_x's,const,stats)</t>
  </si>
  <si>
    <t>LOGEST(已知的y值,已知的x值,逻辑值,逻辑值)</t>
  </si>
  <si>
    <t>此曲线的公式为:y=b*m^x或y=(b*(m1^x1)*(m2^x2)*_)（如果有多个x值）
其中因变量y是自变量x的函数值.m值是各指数x的底,而b值是常量值.注意：公式中的y、x和m均可以是向量,LOGEST函数返回的数组为
{mn,mn-i,...,m1,b}.</t>
  </si>
  <si>
    <t>底</t>
  </si>
  <si>
    <t>{=LOGEST(C818:C822,B818:B822,TRUE,FALSE)}</t>
  </si>
  <si>
    <t>返回单元格区域array1和array2之间的相关系数.使用相关系数可以确定两种属性之间的关系.</t>
  </si>
  <si>
    <t>计算相关的数值变化</t>
  </si>
  <si>
    <t>CORREL(array1,array2)</t>
  </si>
  <si>
    <t>CORREL(第一组数值单元格区域,第二组数值单元格区域)</t>
  </si>
  <si>
    <t>第一组数值单元格区域.</t>
  </si>
  <si>
    <t>Array2</t>
  </si>
  <si>
    <t>第二组数值单元格区域.</t>
  </si>
  <si>
    <t>1.如果数组或引用参数包含文本、逻辑值或空白单元格,则这些值将被忽略；但包含零值的单元格将计算在内.
2.如果array1和array2的数据点的个数不同,函数CORREL返回错误值#N/A.
3.如果array1或array2为空,或者其数值的s(标准偏差)等于零,函数CORREL返回错误值#DIV/0!.</t>
  </si>
  <si>
    <t>内衣销售</t>
  </si>
  <si>
    <t>相关系数</t>
  </si>
  <si>
    <t>=CORREL(B18:B23,C18:C23)</t>
  </si>
  <si>
    <t>返回Pearson(皮尔生)乘积矩相关系数r,这是一个范围在-1.0到1.0之间(包括-1.0和1.0在内)的无量纲指数,反映了两个数据集合之间的线性相关程度.</t>
  </si>
  <si>
    <t>PEARSON(array1,array2)</t>
  </si>
  <si>
    <t>PEARSON(为自变量集合,为因变量集合)</t>
  </si>
  <si>
    <t>为自变量集合.</t>
  </si>
  <si>
    <t>为因变量集合.</t>
  </si>
  <si>
    <t>1.参数可以是数字,或者是包含数字的名称、数组常量或引用.
2.如果数组或引用参数包含文本、逻辑值或空白单元格,则这些值将被忽略；但包含零值的单元格将计算在内.
3.如果array1和array2为空或其数据点个数不同,函数PEARSON返回错误值#N/A.
4.如果array1和array2为空或其数据点个数不同,函数PEARSON返回错误值#N/A.
Pearson（皮尔生）乘积矩相关系数r的公式为：
其中x和y是样本平均值AVERAGE(array1)和AVERAGE(array2).</t>
  </si>
  <si>
    <t>=PEARSON(B117:B122,C117:C122)</t>
  </si>
  <si>
    <t>返回协方差,即每对数据点的偏差乘积的平均数,利用协方差可以决定两个数据集之间的关系.</t>
  </si>
  <si>
    <t>COVAR(array1,array2)</t>
  </si>
  <si>
    <t>COVAR(区域1,区域2)</t>
  </si>
  <si>
    <t>第一个所含数据为整数的单元格区域.</t>
  </si>
  <si>
    <t>第二个所含数据为整数的单元格区域.</t>
  </si>
  <si>
    <t>1.参数必须是数字,或者是包含数字的名称、数组或引用.
2.如果数组或引用参数包含文本、逻辑值或空白单元格,则这些值将被忽略；但包含零值的单元格将计算在内.
3.如果array1和array2所含数据点的个数不等,则函数COVAR返回错误值#N/A.
4.如果array1和array2当中有一个为空,则函数COVAR返回错误值#DIV/0!.
5.如果array1和array2当中有一个为空,则函数COVAR返回错误值#DIV/0!.
协方差计算公式为
其中x和y是样本平均值AVERAGE(array1)和AVERAGE(array2),且n是样本大小.</t>
  </si>
  <si>
    <t>=COVAR(B217:B222,C217:C222)</t>
  </si>
  <si>
    <t>回一个值,您可使用该值构建总体平均值的置信区间.置信区间为一个值区域.样本平均值x位于该区域的中间,区域范围为x±CONFIDENCE.</t>
  </si>
  <si>
    <t>CONFIDENCE(alpha,standard_dev,size)</t>
  </si>
  <si>
    <t>CONFIDENCE(计算置信度的显著水平参数,数据区域的总体标准偏差,样本容量)</t>
  </si>
  <si>
    <t>Alpha</t>
  </si>
  <si>
    <t>是用于计算置信度的显著水平参数.置信度等于100*(1-alpha)%,亦即,如果alpha为0.05,则置信度为95%.</t>
  </si>
  <si>
    <t>数据区域的总体标准偏差,假设为已知.</t>
  </si>
  <si>
    <t>Size</t>
  </si>
  <si>
    <t>样本容量.</t>
  </si>
  <si>
    <t>1.如果任意参数为非数值型,函数CONFIDENCE返回错误值#VALUE!.
2.如果alpha≤0或alpha≥1,函数CONFIDENCE返回错误值#NUM!.
3.如果standard_dev≤0,函数CONFIDENCE返回错误值#NUM!.
4.如果size不是整数,将被截尾取整.
5.如果size&lt;1,函数CONFIDENCE返回错误值#NUM!.
6.如果假设alpha等于0.05,则需要计算等于(1-alpha)或95%的标准正态分布曲线之下的面积.其面积值为±1.96.因此置信区间为：</t>
  </si>
  <si>
    <t xml:space="preserve">     </t>
  </si>
  <si>
    <t>记账实力测试结果</t>
  </si>
  <si>
    <t>数据个数</t>
  </si>
  <si>
    <t>置信区间</t>
  </si>
  <si>
    <t>=CONFIDENCE(0.05,B19,C19)</t>
  </si>
  <si>
    <t>区间推测</t>
  </si>
  <si>
    <t>64.81≤u≤79.03</t>
  </si>
  <si>
    <t>返回区域中的数值落在指定区间内的概率.如果没有给出上限(upper_limit),则返回区间x_range内的值等于下限lower_limit的概率.</t>
  </si>
  <si>
    <t>PROB(x_range,prob_range,lower_limit,upper_limit)</t>
  </si>
  <si>
    <t>PROB(具有各自相应概率值的x数值区域,与其相对应的一组概率值,下界,上界)</t>
  </si>
  <si>
    <t>X_range</t>
  </si>
  <si>
    <t>具有各自相应概率值的x数值区域.</t>
  </si>
  <si>
    <t>Prob_range</t>
  </si>
  <si>
    <t>与x_range中的值相对应的一组概率值.</t>
  </si>
  <si>
    <t>Lower_limit</t>
  </si>
  <si>
    <t>用于计算概率的数值下界.</t>
  </si>
  <si>
    <t>Upper_limit</t>
  </si>
  <si>
    <t>用于计算概率的可选数值上界.</t>
  </si>
  <si>
    <t>1.如果prob_range中的任意值≤0或&gt;1,函数PROB返回错误值#NUM!.
2.如果prob_range中所有值之和¹1,函数PROB返回错误值#NUM!.
3.如果省略upper_limit,函数PROB返回值等于lower_limit时的概率.
4.如果x_range和prob_range中的数据点个数不同,函数PROB返回错误值#N/A.</t>
  </si>
  <si>
    <t>每男每女家居生活馆 活动抽签表</t>
  </si>
  <si>
    <t>等级</t>
  </si>
  <si>
    <t>元/次</t>
  </si>
  <si>
    <t>概率</t>
  </si>
  <si>
    <t>1~3等级的概率</t>
  </si>
  <si>
    <t>=PROB(B119:B124,D119:D124,B119,B121)</t>
  </si>
  <si>
    <t>返回一元二项式分布的概率值.函数BINOMDIST适用于固定次数的独立试验,当试验的结果只包含成功或失败二种情况,且当成功的概率在实验期间固定不变.</t>
  </si>
  <si>
    <t>计算概率</t>
  </si>
  <si>
    <t>BINOMDIST(number_s,trials,probability_s,cumulative)</t>
  </si>
  <si>
    <t>BINOMDIST(为试验成功的次数.,为独立试验的次数,为每次试验中成功的概率,逻辑值)</t>
  </si>
  <si>
    <t>Number_s</t>
  </si>
  <si>
    <t>为试验成功的次数.</t>
  </si>
  <si>
    <t>Trials</t>
  </si>
  <si>
    <t>为独立试验的次数.</t>
  </si>
  <si>
    <t>Probability_s</t>
  </si>
  <si>
    <t>为每次试验中成功的概率.</t>
  </si>
  <si>
    <t>Cumulative</t>
  </si>
  <si>
    <t>为一逻辑值,用于确定函数的形式.如果cumulative为TRUE,函数BINOMDIST返回累积分布函数,即至多number_s次成功的概率；如果为FALSE,返回概率密度函数,即number_s次成功的概率.</t>
  </si>
  <si>
    <t>1.Number_s和trials将被截尾取整.
2.如果number_s、trials或probability_s为非数值型,函数BINOMDIST返回错误值#VALVE!.
3.如果number_s&lt;0或number_s&gt;trials,函数BINOMDIST返回错误值#NUM!.
4.如果probability_s&lt;0或probability_s&gt;1,函数BINOMDIST返回错误值#NUM!.</t>
  </si>
  <si>
    <t>已知进店顾客是30%带小孩,计算10组顾客中,正好有6组带小孩的概率.</t>
  </si>
  <si>
    <t>进店人数预测表</t>
  </si>
  <si>
    <t>带小孩者</t>
  </si>
  <si>
    <t>进店人数(组)</t>
  </si>
  <si>
    <t>带小孩比率</t>
  </si>
  <si>
    <t>带着小孩在6组以下的概率</t>
  </si>
  <si>
    <t>=BINOMDIST(B22,C22,D22,0)</t>
  </si>
  <si>
    <t>返回使累积二项式分布大于等于临界值的最小值.此函数可以用于质量检验.</t>
  </si>
  <si>
    <t>CRITBINOM(trials,probability_s,alpha)</t>
  </si>
  <si>
    <t>CRITBINOM(试验次数,试验中的概率,临界值)</t>
  </si>
  <si>
    <t>伯努利试验次数.</t>
  </si>
  <si>
    <t>每次试验中成功的概率.</t>
  </si>
  <si>
    <t>临界值.</t>
  </si>
  <si>
    <t>1.如果任意参数为非数值型,函数CRITBINOM返回错误值#VALUE!.
2.如果trials不是整数,将被截尾取整.
3.如果trial&lt;0,函数CRITBINOM返回错误值#NUM!.
4.如果probability_s&lt;0或probability_s&gt;1,函数CRITBINOM返回错误值#NUM!.
5.如果alpha&lt;0或alpha&gt;1,函数CRITBINOM返回错误值#NUM!.</t>
  </si>
  <si>
    <t>可容纳的概率</t>
  </si>
  <si>
    <t>可容纳的人数(组)</t>
  </si>
  <si>
    <t>=CRITBINOM(B120,C120,D120)</t>
  </si>
  <si>
    <t>返回负二项式分布.当成功概率为常量probability_s时,函数NEGBINOMDIST返回在到达number_s次成功之前,出现number_f次失败的概率.此函数与二项式分布相似,只是它的成功次数固定,试验总数为变量.与二项式分布类似的是,试验次数被假设为自变量.</t>
  </si>
  <si>
    <t>NEGBINOMDIST(number_f,number_s,probability_s)</t>
  </si>
  <si>
    <t>NEGBINOMDIST(失败次数,成功的极限次数,成功的概率)</t>
  </si>
  <si>
    <t>Number_f</t>
  </si>
  <si>
    <t>失败次数.</t>
  </si>
  <si>
    <t>成功的极限次数.</t>
  </si>
  <si>
    <t>成功的概率.</t>
  </si>
  <si>
    <t>1.Number_f和number_s将被截尾取整.
2.如果任一参数为非数值型,函数NEGBINOMDIST返回错误值#VALUE!.
3.如果probability_s&lt;0或probability&gt;1,函数NEGBINOMDIST返回错误值#NUM!.
4.如果number_f&lt;0或number_s&lt;1,函数NEGBINOMDIST返回错误值#NUM!.</t>
  </si>
  <si>
    <t>未带小孩的组</t>
  </si>
  <si>
    <t>带小孩的组</t>
  </si>
  <si>
    <t>带小孩的比率</t>
  </si>
  <si>
    <t>带小孩的顾客来满5组为止,未带小孩的顾客来满5组的概率</t>
  </si>
  <si>
    <t>=NEGBINOMDIST(B220,C220,D220)</t>
  </si>
  <si>
    <t>返回超几何分布.给定样本容量、样本总体容量和样本总体中成功的次数,函数HYPGEOMDIST返回样本取得给定成功次数的概率.使用函数HYPGEOMDIST可以解决有限总体的问题,其中每个观察值或者为成功或者为失败,且给定样本容量的每一个子集有相等的发生概率.</t>
  </si>
  <si>
    <t>HYPGEOMDIST(sample_s,number_sample,population_s,number_population)</t>
  </si>
  <si>
    <t>HYPGEOMDIST(样本中成功的次数,样本容量,样本总体中成功的次数,样本总体的容量)</t>
  </si>
  <si>
    <t>Sample_s</t>
  </si>
  <si>
    <t>样本中成功的次数.</t>
  </si>
  <si>
    <t>Number_sample</t>
  </si>
  <si>
    <t>Population_s</t>
  </si>
  <si>
    <t>样本总体中成功的次数.</t>
  </si>
  <si>
    <t>Number_population</t>
  </si>
  <si>
    <t>样本总体的容量.</t>
  </si>
  <si>
    <t>1.所有参数将被截尾取整.
2.如果任一参数为非数值型,函数HYPGEOMDIST返回错误值#VALUE!.
3.如果sample_s&lt;0或sample_s大于number_sample和population_s中的较小值,函数HYPGEOMDIST返回错误值#NUM!.
4.如果sample_s小于0或(number_sample-number_population+population_s)中的较大值,函数HYPGEOMDIST返回错误值#NUM!.
5.如果number_sample&lt;0或number_sample&gt;number_population,函数HYPGEOMDIST返回错误值#NUM!.
6.如果population_s&lt;0或population_s&gt;number_population,函数HYPGEOMDIST返回错误值#NUM!.
7.如果number_population&lt;0,函数HYPGEOMDIST返回错误值#NUM!.</t>
  </si>
  <si>
    <t>每男每女家居生活馆 会员表</t>
  </si>
  <si>
    <t>目的人数</t>
  </si>
  <si>
    <t>抽选人数</t>
  </si>
  <si>
    <t>已婚者</t>
  </si>
  <si>
    <t>所有会员</t>
  </si>
  <si>
    <t>已婚者是4人的概念</t>
  </si>
  <si>
    <t>=HYPGEOMDIST(B319,C319,D319,E319)</t>
  </si>
  <si>
    <t>返回泊松分布.泊松分布通常用于预测一段时间内事件发生的次数,比如一分钟内通过收费站的轿车的数量.</t>
  </si>
  <si>
    <t>POISSON(x,mean,cumulative)</t>
  </si>
  <si>
    <t>POISSON(事件数,期望值,逻辑值)</t>
  </si>
  <si>
    <t>事件数.</t>
  </si>
  <si>
    <t>期望值.</t>
  </si>
  <si>
    <t>为一逻辑值,确定所返回的概率分布形式.如果cumulative为TRUE,函数POISSON返回泊松累积分布概率,即,随机事件发生的次数在0到x之间(包含0和1)；如果为FALSE,则返回泊松概率密度函数,即,随机事件发生的次数恰好为x.</t>
  </si>
  <si>
    <t>1.如果x不为整数,将被截尾取整.
2.如果x或mean为非数值型,函数POISSON返回错误值#VALUE!.
3.如果x&lt;0,函数POISSON返回错误值#NUM!.
4.如果mean≤0,函数POISSON返回错误值#NUM!.</t>
  </si>
  <si>
    <t>每男每女家居生活馆 活动信息表</t>
  </si>
  <si>
    <t>进店顾客1000人博士学历占有人数</t>
  </si>
  <si>
    <t>博士人数</t>
  </si>
  <si>
    <t>=POISSON(B421,C418,0)</t>
  </si>
  <si>
    <t>返回指定平均值和标准偏差的正态分布函数.此函数在统计方面应用范围广泛(包括假设检验).</t>
  </si>
  <si>
    <t>NORMDIST(x,mean,standard_dev,cumulative)</t>
  </si>
  <si>
    <t>NORMDIST(为需要计算其分布的数值,分布的算术平均值,分布的标准偏差,逻辑值)</t>
  </si>
  <si>
    <t>为需要计算其分布的数值.</t>
  </si>
  <si>
    <t>为一逻辑值,指明函数的形式.如果cumulative为TRUE,函数NORMDIST返回累积分布函数；如果为FALSE,返回概率密度函数.</t>
  </si>
  <si>
    <t>1.如果mean或stand_dev为非数值型,函数NORMDIST返回错误值#VALUE!.
2.如果standard_dev≤0,函数NORMDIST返回错误值#NUM!.
3.如果mean=0,standard_dev=1,且cumulative=TRUE,则函数NORMDIST返回标准正态分布,即函数NORMSDIST.</t>
  </si>
  <si>
    <t>假设考试结果的平均值为60,标准偏差为10时,计算得80分的人数有多少.</t>
  </si>
  <si>
    <t>得分</t>
  </si>
  <si>
    <t>=NORMDIST(B519,C519,D519,0)</t>
  </si>
  <si>
    <t>返回指定平均值和标准偏差的正态累积分布函数的反函数.</t>
  </si>
  <si>
    <t>NORMINV(probability,mean,standard_dev)</t>
  </si>
  <si>
    <t>NORMINV(正态分布的概率值,分布的算术平均值,分布的标准偏差)</t>
  </si>
  <si>
    <t>Probability</t>
  </si>
  <si>
    <t>正态分布的概率值.</t>
  </si>
  <si>
    <t>1.如果任一参数为非数值型,函数NORMINV返回错误值#VALUE!.
2.如果probability&lt;0或probability&gt;1,函数NORMINV返回错误值#NUM!.
3.如果standard_dev≤0,函数NORMINV返回错误值#NUM!.
4.如果mean=0且standard_dev=1,函数NORMINV使用标准正态分布(请参阅函数NORMSINV).
5.如果已给定概率值,则NORMINV使用NORMDIST(x,mean,standard_dev,TRUE)=probability求解数值x.因此,NORMINV的精度取决于NORMDIST的精度.NORMINV使用迭代搜索技术.如果搜索在100次迭代之后没有收敛,则函数返回错误值#N/A.</t>
  </si>
  <si>
    <t>累积概率</t>
  </si>
  <si>
    <t>=NORMINV(B618,C618,D618)</t>
  </si>
  <si>
    <t>返回标准正态累积分布函数,该分布的平均值为0,标准偏差为1.可以使用该函数代替标准正态曲线面积表.</t>
  </si>
  <si>
    <t>NORMSDIST(z)</t>
  </si>
  <si>
    <t>NORMSDIST(目标单元格)</t>
  </si>
  <si>
    <t>如果z为非数值型,函数NORMSDIST返回错误值#VALUE!.</t>
  </si>
  <si>
    <t>标准正态分布的累积概率</t>
  </si>
  <si>
    <t>z的值</t>
  </si>
  <si>
    <t>=NORMSDIST(B718)</t>
  </si>
  <si>
    <t>返回标准正态累积分布函数的反函数.该分布的平均值为0,标准偏差为1.</t>
  </si>
  <si>
    <t>NORMSINV(probability)</t>
  </si>
  <si>
    <t>NORMSINV(目标单元格)</t>
  </si>
  <si>
    <t>1.如果probability为非数值型,函数NORMSINV返回错误值#VALUE!.
2.如果probability&lt;0或probability&gt;1,函数NORMINV返回错误值#NUM!.
3.如果已给定概率值,则NORMSINV使用NORMSDIST(z)=probability求解数值z.因此,NORMSINV的精度取决于NORMSDIST的精度.NORMSINV使用迭代搜索技术.如果搜索在100次迭代之后没有收敛,则函数返回错误值#N/A</t>
  </si>
  <si>
    <t>=NORMSINV(B818)</t>
  </si>
  <si>
    <t>返回x的对数累积分布函数,其中ln(x)是服从参数mean和standard_dev的正态分布.使用此函数可以分析经过对数变换的数据.</t>
  </si>
  <si>
    <t>LOGNORMDIST(x,mean,standard_dev)</t>
  </si>
  <si>
    <t>LOGNORMDIST(参数值,为ln(x)的平均值,为ln(x)的标准偏差)</t>
  </si>
  <si>
    <t>参数值.</t>
  </si>
  <si>
    <t>为ln(x)的平均值.</t>
  </si>
  <si>
    <t>为ln(x)的标准偏差.</t>
  </si>
  <si>
    <t>1.如果任一参数为非数值型,函数LOGNORMDIST返回错误值#VALUE!.
2.如果x≤0或standard_dev≤0,函数LOGNORMDIST返回错误值#NUM!.</t>
  </si>
  <si>
    <t>对数正态分布的累积概率</t>
  </si>
  <si>
    <t>x</t>
  </si>
  <si>
    <t>=LOGNORMDIST(B19,C19,D19)</t>
  </si>
  <si>
    <t>返回x的对数累积分布函数的反函数,此处的ln(x)是含有mean与standard-dev参数的正态分布.如果p=LOGNORMDIST(x,...),则LOGINV(p,...)=x.使用对数分布可分析经过对数变换的数据.</t>
  </si>
  <si>
    <t>LOGINV(probability,mean,standard_dev)</t>
  </si>
  <si>
    <t>LOGINV(是与对数分布相关的概率,为ln(x)的平均值,为ln(x)的标准偏差)</t>
  </si>
  <si>
    <t>是与对数分布相关的概率.</t>
  </si>
  <si>
    <t>1.如果变量为非数值参数,则函数LOGINV返回错误值#VALUE!.
2.如果probability&lt;0或probability&gt;1,则函数LOGINV返回错误值#NUM!.
3.如果standard_dev&lt;=0,则函数LOGINV返回错误值#NUM!.</t>
  </si>
  <si>
    <t>=LOGINV(B118,C118,D118)</t>
  </si>
  <si>
    <t>返回γ2分布的单尾概率.c2分布与c2检验相关.使用c2检验可以比较观察值和期望值.</t>
  </si>
  <si>
    <t>CHIDIST(x,degrees_freedom)</t>
  </si>
  <si>
    <t>CHIDIST(为用来计算分布的数值,自由度)</t>
  </si>
  <si>
    <t>为用来计算分布的数值.</t>
  </si>
  <si>
    <t>Degrees_freedom</t>
  </si>
  <si>
    <t>自由度.</t>
  </si>
  <si>
    <t>1.如果任一参数为非数值型,函数CHIDIST返回错误值#VALUE!.
2.如果x为负数,函数CHIDIST返回错误值#NUM!.
3.如果degrees_freedom不是整数,将被截尾取整.
4.如果degrees_freedom&lt;1或degrees_freedom≥10^10,函数CHIDIST返回错误值#NUM!.
5.函数CHIDIST按CHIDTST=P(X&gt;x)计算,式中X为c2随机变量.</t>
  </si>
  <si>
    <t>卡方分布的上侧概率</t>
  </si>
  <si>
    <t>自由度</t>
  </si>
  <si>
    <t>上侧概率</t>
  </si>
  <si>
    <t>=CHIDIST(B19,C19)</t>
  </si>
  <si>
    <t>返回γ2分布单尾概率的反函数值.如果probability=CHIDIST(x,...),则CHIINV(probability,...)=x.使用此函数可比较观测结果和期望值,可确定初始假设是否有效.</t>
  </si>
  <si>
    <t>CHIINV(probability,degrees_freedom)</t>
  </si>
  <si>
    <t>CHIINV(为γ2分布的单尾概率,自由度)</t>
  </si>
  <si>
    <t>为γ2分布的单尾概率.</t>
  </si>
  <si>
    <t>1.如果任一参数为非数字型,则函数CHIINV返回错误值#VALUE!.
2.如果probability&lt;0或probability&gt;1,则函数CHIINV返回错误值#NUM!.
3.如果degrees_freedom不是整数,将被截尾取整.
4.如果degrees_freedom&lt;1或degrees_freedom≥10^10,函数CHIINV返回错误值#NUM!.
5.如果已给定概率值,则CHIINV使用CHIDIST(x,degrees_freedom)=probability求解数值x.因此,CHIINV的精度取决于CHIDIST的精度.CHIINV使用迭代搜索技术.如果搜索在100次迭代之后没有收敛,则函数返回错误值#N/A.</t>
  </si>
  <si>
    <t>=CHIINV(B118,C118)</t>
  </si>
  <si>
    <t>返回独立性检验值.函数CHITEST返回(c2)分布的统计值及相应的自由度.可以使用(c2)检验确定假设值是否被实验所证实.</t>
  </si>
  <si>
    <t>CHITEST(actual_range,expected_range)</t>
  </si>
  <si>
    <t>CHITEST(为包含观察值的数据区域,包含行列汇总的乘积与总计值之比率的数据区域)</t>
  </si>
  <si>
    <t>Actual_range</t>
  </si>
  <si>
    <t>为包含观察值的数据区域,将和期望值作比较.</t>
  </si>
  <si>
    <t>Expected_range</t>
  </si>
  <si>
    <t>为包含行列汇总的乘积与总计值之比率的数据区域.</t>
  </si>
  <si>
    <t>如果actual_range和expected_range数据点的个数不同,则函数CHITEST返回错误值#N/A.</t>
  </si>
  <si>
    <t>IPO(新发行股票)选中次数调查</t>
  </si>
  <si>
    <t>次数</t>
  </si>
  <si>
    <t>实测度数</t>
  </si>
  <si>
    <t>次数×实测度数</t>
  </si>
  <si>
    <t>期待度数</t>
  </si>
  <si>
    <t>关联概率</t>
  </si>
  <si>
    <t>=CHITEST(C218:C223,E218:E223)</t>
  </si>
  <si>
    <t>返回学生t分布的百分点(概率),t分布中数值(x)是t的计算值(将计算其百分点).t分布用于小样本数据集合的假设检验.使用此函数可以代替t分布的临界值表.</t>
  </si>
  <si>
    <t>TDIST(x,degrees_freedom,tails)</t>
  </si>
  <si>
    <t>TDIST(为需要计算分布的数字,为表示自由度的整数,指定单边还是双边)</t>
  </si>
  <si>
    <t>为需要计算分布的数字.</t>
  </si>
  <si>
    <t>为表示自由度的整数.</t>
  </si>
  <si>
    <t>Tails</t>
  </si>
  <si>
    <t>指明返回的分布函数是单尾分布还是双尾分布.如果tails=1,函数TDIST返回单尾分布.如果tails=2,函数TDIST返回双尾分布.</t>
  </si>
  <si>
    <t>1.如果任一参数为非数值型,函数TDIST返回错误值#VALUE!.
2.如果degrees_freedom&lt;1,函数TDIST返回错误值#NUM!.
3.参数degrees_freedom和tails将被截尾取整.
4.如果tails不为1或2,函数TDIST返回错误值#NUM!.
5.如果x&lt;0,TDIST返回错误值#NUM!.
6.如果tails=1,TDIST的计算公式为TDIST=P(X&gt;x),其中X为服从t分布的随机变量.如果tails=2,TDIST的计算公式为TDIST=P(|X|&gt;x)=P(X&gt;xorX&lt;-x).
7.因为不允许x&lt;0,当x&lt;0时要使用TDIST,应该注意TDIST(-x,df,1)=1–TDIST(x,df,1)=P(X&gt;-x)和TDIST(-x,df,2)=TDIST(xdf,2)=P(|X|&gt;x).</t>
  </si>
  <si>
    <t>计算t分布的单边概率</t>
  </si>
  <si>
    <t>t值</t>
  </si>
  <si>
    <t>单边概率</t>
  </si>
  <si>
    <t>=TDIST(B19,C19,1)</t>
  </si>
  <si>
    <t>返回作为概率和自由度函数的学生t分布的t值.</t>
  </si>
  <si>
    <t>计算t分布的反函数.</t>
  </si>
  <si>
    <t>TINV(probability,degrees_freedom)</t>
  </si>
  <si>
    <t>TINV(为对应于双尾学生t分布的概率,为分布的自由度)</t>
  </si>
  <si>
    <t>为对应于双尾学生t分布的概率.</t>
  </si>
  <si>
    <t>为分布的自由度.</t>
  </si>
  <si>
    <t>1.如果任一参数为非数值型,函数TINV返回错误值#VALUE!.
2.如果probability&lt;0或probability&gt;1,函数TINV返回错误值#NUM!.
3.如果degrees_freedom不是整数,将被截尾取整.
4.如果degrees_freedom&lt;1,函数TINV返回错误值#NUM!.
5.TINV返回t值,P(|X|&gt;t)=probability,其中X为服从t分布的随机变量,且P(|X|&gt;t)=P(X&lt;-torX&gt;t).
6.单尾t值可通过用两倍概率替换概率而求得.如果概率为0.05而自由度为10,则双尾值由TINV(0.05,10)计算得到,它返回2.28139.而同样概率和自由度的单尾值可由TINV(2*0.05,10)计算得到,它返回1.812462.
7.注释  在某些表中,概率被描述为(1-p).
8.如果已给定概率值,则TINV使用TDIST(x,degrees_freedom,2)=probability求解数值x.因此,TINV的精度取决于TDIST的精度.TINV使用迭代搜索技术.如果搜索在100次迭代之后没有收敛,则函数返回错误值#N/A.</t>
  </si>
  <si>
    <t>通过双边概率计算的t值</t>
  </si>
  <si>
    <t>双边概率</t>
  </si>
  <si>
    <t>t(0.05)</t>
  </si>
  <si>
    <t>=TINV(B118,C118)</t>
  </si>
  <si>
    <t>返回与学生t检验相关的概率.可以使用函数TTEST判断两个样本是否可能来自两个具有相同平均值的总体.</t>
  </si>
  <si>
    <t>TTEST(array1,array2,tails,type)</t>
  </si>
  <si>
    <t>TTEST(数据集1,数据集2,指示分布曲线的尾数,t检验的类型)</t>
  </si>
  <si>
    <t>为第一个数据集.</t>
  </si>
  <si>
    <t>为第二个数据集.</t>
  </si>
  <si>
    <t>指示分布曲线的尾数.如果tails=1,函数TTEST使用单尾分布.如果tails=2,函数TTEST使用双尾分布.</t>
  </si>
  <si>
    <t>Type</t>
  </si>
  <si>
    <t>为t检验的类型.</t>
  </si>
  <si>
    <t>1.如果array1和array2的数据点个数不同,且type=1(成对),函数TTEST返回错误值#N/A.
2.参数tails和type将被截尾取整.
3.如果tails或type为非数值型,函数TTEST返回错误值#VALUE!.
4.如果tails不为1或2,函数TTEST返回错误值#NUM!.
5.TTEST使用array1和array2中的数据计算非负值t统计.如果tails=1,假设array1和array2为来自具有相同平均值的总体的样本,则TTEST返回t统计的较高值的概率.假设“总体平均值相同”,则当tails=2时返回的值是当tails=1时返回的值的两倍,且符合t统计的较高绝对值的概率.</t>
  </si>
  <si>
    <t>如果type等于</t>
  </si>
  <si>
    <t>检验方法</t>
  </si>
  <si>
    <t>成对</t>
  </si>
  <si>
    <t>等方差双样本检验</t>
  </si>
  <si>
    <t>异方差双样本检验</t>
  </si>
  <si>
    <t>每男每女家居生活馆 测验结果</t>
  </si>
  <si>
    <t>学科</t>
  </si>
  <si>
    <t>技能</t>
  </si>
  <si>
    <t>=TTEST(C226:C233,D226:D233,2,1)</t>
  </si>
  <si>
    <t>返回F概率分布.使用此函数可以确定两个数据系列是否存在变化程度上的不同.</t>
  </si>
  <si>
    <t>FDIST(x,degrees_freedom1,degrees_freedom2)</t>
  </si>
  <si>
    <t>FDIST(参数值,分子自由度,分母自由度)</t>
  </si>
  <si>
    <t>Degrees_freedom1</t>
  </si>
  <si>
    <t>分子自由度.</t>
  </si>
  <si>
    <t>Degrees_freedom2</t>
  </si>
  <si>
    <t>分母自由度.</t>
  </si>
  <si>
    <t>1.如果任何参数都为非数值型,函数FDIST返回错误值#VALUE!.
2.如果x为负数,函数FDIST返回错误值#NUM!.
3.如果degrees_freedom1或degrees_freedom2不是整数,将被截尾取整.
4.如果degrees_freedom1&lt;1或degrees_freedom1≥10^10,函数FDIST返回错误值#NUM!.
5.如果degrees_freedom2&lt;1或degrees_freedom2≥10^10,函数FDIST返回错误值#NUM!.
6.函数FDIST的计算公式为FDIST=P(F&gt;x),其中F为呈F分布且带有degrees_freedom1和degrees_freedom2自由度的随机变量.</t>
  </si>
  <si>
    <t>计算F分布的上侧概率</t>
  </si>
  <si>
    <t>F值</t>
  </si>
  <si>
    <t>自由度1</t>
  </si>
  <si>
    <t>自由度2</t>
  </si>
  <si>
    <t>=FDIST(B19,C19,D19)</t>
  </si>
  <si>
    <t>返回F概率分布的反函数值.如果p=FDIST(x,…),则FINV(p,…)=x.在F检验中,可以使用F分布比较两个数据集的变化程度.</t>
  </si>
  <si>
    <t>FINV(probability,degrees_freedom1,degrees_freedom2)</t>
  </si>
  <si>
    <t>FINV(与F累积分布相关的概率值,分子自由度,分母自由度)</t>
  </si>
  <si>
    <t>与F累积分布相关的概率值.</t>
  </si>
  <si>
    <t>1.如果任何参数都为非数值型,则函数FINV返回错误值#VALUE!.
2.如果probability&lt;0或probability&gt;1,函数FINV返回错误值#NUM!.
3.如果degrees_freedom1或degrees_freedom2不是整数,将被截尾取整.
4.如果degrees_freedom1&lt;1或degrees_freedom1≥10^10,函数FINV返回错误值#NUM!.
5.FINV(probability,degrees_freedom1,degrees_freedom2)
6.如果degrees_freedom2&lt;1或degrees_freedom2≥10^10,函数FINV返回错误值#NUM!.
7.函数FINV可用于返回F分布的临界值.例如,ANOVA计算的结果常常包括F统计值、F概率和显著水平参数为0.05的F临界值等数据.若要返回F的临界值,可用显著水平参数作为函数FINV的probability参数.
8.如果已给定概率值,则FINV使用FDIST(x,degrees_freedom1,degrees_freedom2)=probability求解数值x.因此,FINV的精度取决于FDIST的精度.FINV使用迭代搜索技术.如果搜索在100次迭代之后没有收敛,则函数返回错误值#N/A.</t>
  </si>
  <si>
    <t>通过上侧概率计算F值</t>
  </si>
  <si>
    <t>=FINV(B118,C118,D118)</t>
  </si>
  <si>
    <t>返回F检验的结果.F检验返回的是当数组1和数组2的方差无明显差异时的单尾概率.可以使用此函数来判断两个样本的方差是否不同.</t>
  </si>
  <si>
    <t>FTEST(array1,array2)</t>
  </si>
  <si>
    <t>FTEST(数据区域1,数据区域2)</t>
  </si>
  <si>
    <t>第一个数组或数据区域.</t>
  </si>
  <si>
    <t>第二个数组或数据区域.</t>
  </si>
  <si>
    <t>1.参数可以是数字,或者是包含数字的名称、数组或引用.
2.如果数组或引用参数包含文本、逻辑值或空白单元格,则这些值将被忽略；但包含零值的单元格将计算在内.
3.如果数组1或数组2中数据点的个数小于2个,或者数组1或数组2的方差为零,函数FTEST返回错误值#DIV/0!.</t>
  </si>
  <si>
    <t>等分散的检验</t>
  </si>
  <si>
    <t>=FTEST(C219:C226,D219:D226)</t>
  </si>
  <si>
    <t>返回点x的Fisher变换.该变换生成一个正态分布而非偏斜的函数.使用此函数可以完成相关系数的假设检验.</t>
  </si>
  <si>
    <t>FISHER(x)</t>
  </si>
  <si>
    <t>FISHER(目标单元格)</t>
  </si>
  <si>
    <t>为一个数字,在该点进行变换.</t>
  </si>
  <si>
    <t>1.如果x为非数值型,函数FISHER返回错误值#VALUE!.
2.如果x≤-1或x≥1,函数FISHER返回错误值#NUM!.</t>
  </si>
  <si>
    <t>FISHER变换表</t>
  </si>
  <si>
    <t>变换后的值</t>
  </si>
  <si>
    <t>=FISHER(B19)</t>
  </si>
  <si>
    <t>返回Fisher变换的反函数值.使用此变换可以分析数据区域或数组之间的相关性.如果y=FISHER(x),则FISHERINV(y)=x.</t>
  </si>
  <si>
    <t>FISHERINV(y)</t>
  </si>
  <si>
    <t>FISHERINV(目标单元格)</t>
  </si>
  <si>
    <t>Y</t>
  </si>
  <si>
    <t>为一个数值,在该点进行反变换.</t>
  </si>
  <si>
    <t>如果y为非数值型,函数FISHERINV返回错误值#VALUE!.</t>
  </si>
  <si>
    <t>FISHER变换表(反函数)</t>
  </si>
  <si>
    <t>=FISHERINV(B118)</t>
  </si>
  <si>
    <t>返回伽玛分布.可以使用此函数来研究具有偏态分布的变量.伽玛分布通常用于排队分析.</t>
  </si>
  <si>
    <t>GAMMADIST(x,alpha,beta,cumulative)</t>
  </si>
  <si>
    <t>GAMMADIST(为用来计算伽玛分布的数值,分布参数,分布参数,逻辑值)</t>
  </si>
  <si>
    <t>为用来计算伽玛分布的数值.</t>
  </si>
  <si>
    <t>分布参数.</t>
  </si>
  <si>
    <t>Beta</t>
  </si>
  <si>
    <t>分布参数.如果beta=1,函数GAMMADIST返回标准伽玛分布.</t>
  </si>
  <si>
    <t>为一逻辑值,决定函数的形式.如果cumulative为TRUE,函数GAMMADIST返回累积分布函数；如果为FALSE,则返回概率密度函数.</t>
  </si>
  <si>
    <t>1.如果x、alpha或beta为非数值型,函数GAMMADIST返回错误值#VALUE!.
2.如果x&lt;0,函数GAMMADIST返回错误值#NUM!.
3.如果alpha≤0或beta≤0,函数GAMMADIST返回错误值#NUM!.</t>
  </si>
  <si>
    <t>每男每女家居生活馆有20位顾客时的概率</t>
  </si>
  <si>
    <t>进店顾客</t>
  </si>
  <si>
    <t>不偏分散</t>
  </si>
  <si>
    <t>α</t>
  </si>
  <si>
    <t>β</t>
  </si>
  <si>
    <t>χ</t>
  </si>
  <si>
    <t>τ(χ)</t>
  </si>
  <si>
    <t>=GAMMADIST(C24,C22,D22,1)</t>
  </si>
  <si>
    <t>返回伽玛累积分布函数的反函数.如果P=GAMMADIST(x,...),则GAMMAINV(p,...)=x.使用此函数可研究可能出现偏态分布的变量.</t>
  </si>
  <si>
    <t>GAMMAINV(probability,alpha,beta)</t>
  </si>
  <si>
    <t>GAMMAINV(为伽玛分布的概率值,分布参数,分布参数)</t>
  </si>
  <si>
    <t>为伽玛分布的概率值.</t>
  </si>
  <si>
    <t>分布参数.如果beta=1,函数GAMMAINV返回标准伽玛分布.</t>
  </si>
  <si>
    <t>1.如果任一参数为非数值型,函数GAMMAINV返回错误值#VALUE!.
2.如果probability&lt;0,probability&gt;1,函数GAMMAINV返回错误值#NUM!.
3.如果alpha≤0或beta≤0,函数GAMMAINV返回错误值#NUM!.
4.如果已给定概率值,则GAMMAINV使用GAMMADIST(x,alpha,beta,TRUE)=probability求解数值x.因此,GAMMAINV的精度取决于GAMMADIST的精度.GAMMAINV使用迭代搜索技术.如果搜索在100次迭代之后没有收敛,则函数返回错误值#N/A.</t>
  </si>
  <si>
    <t>假设每男每女生活馆某时间来店的顾客人数符合α=6,β=3的伽马分布.计算此时95%的概率对应的反函数的值.</t>
  </si>
  <si>
    <t>即:该时间的进店顾客×人的概率为95%.</t>
  </si>
  <si>
    <t>通过累积概率计算人数</t>
  </si>
  <si>
    <t>=GAMMAINV(B120,C120,D120)</t>
  </si>
  <si>
    <t>返回伽玛函数的自然对数,Γ(x).</t>
  </si>
  <si>
    <t>GAMMALN(x)</t>
  </si>
  <si>
    <t>GAMMALN(目标单元格)</t>
  </si>
  <si>
    <t>为需要计算函数GAMMALN的数值.</t>
  </si>
  <si>
    <t>1.如果x为非数值型,函数GAMMALN返回错误值#VALUE!.
2.如果x≤0,函数GAMMAIN返回错误值#NUM!.
3.数字e的GAMMALN(i)次幂等于(i-1)!,其中i为整数.</t>
  </si>
  <si>
    <t>伽玛函数的自然对数的值</t>
  </si>
  <si>
    <t>Γ(x)</t>
  </si>
  <si>
    <t>=GAMMALN(B218)</t>
  </si>
  <si>
    <t>返回Beta累积分布函数.Beta累积分布函数通常用于研究样本中一定部分的变化情况.</t>
  </si>
  <si>
    <t>BETADIST(x,alpha,beta,下界,上界)</t>
  </si>
  <si>
    <t>BETADIST(目标单元格,分布参数,分布参数,A,B)</t>
  </si>
  <si>
    <t>用来进行函数计算的值,居于可选性上下界(A和B)之间.</t>
  </si>
  <si>
    <t>数值x所属区间的可选下界.</t>
  </si>
  <si>
    <t>B</t>
  </si>
  <si>
    <t>数值x所属区间的可选上界.</t>
  </si>
  <si>
    <t>1.如果任意参数为非数值型,函数BETADIST返回错误值#VALVE!.
2.如果alpha≤0或beta≤0,函数BETADIST返回错误值#NUM!.
3.如果x&lt;A、x&gt;B或A=B,函数BETADIST返回错误值#NUM!.
4.如果省略A或B值,函数BETADIST使用标准beta分布的累积函数,即A=0,B=1.</t>
  </si>
  <si>
    <t>项目进度率的计算</t>
  </si>
  <si>
    <t>第几周</t>
  </si>
  <si>
    <t>开始(A)</t>
  </si>
  <si>
    <t>结束(B)</t>
  </si>
  <si>
    <t>进度率</t>
  </si>
  <si>
    <t>=BETADIST(B21,C21,D21,E21,F21)</t>
  </si>
  <si>
    <t>返回指定的beta分布累积分布函数的反函数值.即,如果probability=BETADIST(x,...),则BETAINV(probability,...)=x.beta分布函数可用于项目设计,在给定期望的完成时间和变化参数后,模拟可能的完成时间.</t>
  </si>
  <si>
    <t>BETAINV(probability,alpha,beta,A,B)</t>
  </si>
  <si>
    <t>BETAINV(Beta分布的概率值,分布参数,分布参数,下界,上界)</t>
  </si>
  <si>
    <t>Beta分布的概率值.</t>
  </si>
  <si>
    <t>1.如果任意参数为非数值型,函数BETAINV返回错误值#VALVE!.
2.如果alpha≤0或beta≤0,函数BETAINV返回错误值#NUM!.
3.如果probability≤0或probability&gt;1,函数BETAINV返回错误值#NUM!.
4.如果省略A或B值,函数BETAINV使用标准的累积beta分布,即A=0,B=1.
5.如果已给定概率值,则BETAINV使用BETADIST(x,alpha,beta,A,B)=probability求解数值x.因此,BETAINV的精度取决于BETADIST的精度.BETAINV使用迭代搜索技术.如果搜索在100次迭代之后没有收敛,则函数返回错误值#N/A.</t>
  </si>
  <si>
    <t>=BETAINV(B120,C120,D120,E120,F120)</t>
  </si>
  <si>
    <t>返回z检验的单尾概率值.对于给定的假设总体平均值μ0,ZTEST返回样本平均值大于数据集(数组)中观察平均值的概率,即观察样本平均值.</t>
  </si>
  <si>
    <t>ZTEST(array,μ0,sigma)</t>
  </si>
  <si>
    <t>ZTEST(用来检验μ0的数组或数据区域,为被检验的值,为样本总体(已知)的标准偏差)</t>
  </si>
  <si>
    <t>为用来检验μ0的数组或数据区域.</t>
  </si>
  <si>
    <t>μ0</t>
  </si>
  <si>
    <t>为被检验的值.</t>
  </si>
  <si>
    <t>Sigma</t>
  </si>
  <si>
    <t>为样本总体(已知)的标准偏差,如果省略,则使用样本标准偏差.</t>
  </si>
  <si>
    <t>若要了解如何在公式中使用ZTEST计算双尾概率值的有关信息,请参阅下面的“说明”部分.</t>
  </si>
  <si>
    <t>如果array为空,函数ZTEST返回错误值#N/A.</t>
  </si>
  <si>
    <t>每男每女家居生活馆 皮尺使用测验</t>
  </si>
  <si>
    <t>长度</t>
  </si>
  <si>
    <t>基准值/米</t>
  </si>
  <si>
    <t>=ZTEST(C20:C27,D19,D21)</t>
  </si>
  <si>
    <t>=ZTEST(C20:C27,D19,D21)*2</t>
  </si>
  <si>
    <t>标本平均</t>
  </si>
  <si>
    <t>返回指数分布.使用函数EXPONDIST可以建立事件之间的时间间隔模型。</t>
  </si>
  <si>
    <t>EXPONDIST(x,lambda,cumulative)</t>
  </si>
  <si>
    <t>EXPONDIST(函数的数值,参数值,逻辑值)</t>
  </si>
  <si>
    <t>函数的数值.</t>
  </si>
  <si>
    <t>Lambda</t>
  </si>
  <si>
    <t>为一逻辑值,指定指数函数的形式.如果cumulative为TRUE,函数EXPONDIST返回累积分布函数；如果cumulative为FALSE,返回概率密度函数.</t>
  </si>
  <si>
    <t>1.如果x或lambda为非数值型,函数EXPONDIST返回错误值#VALUE!.
2.如果x&lt;0,函数EXPONDIST返回错误值#NUM!.
3.如果labmda≤0,函数EXPONDIST返回错误值#NUM!.</t>
  </si>
  <si>
    <t>假设每男每女家居生活馆,进店顾客的时间间隔呈指数分布.每男每女家居生活馆平均每分钟进店顾客为0.2人时,计算5分钟内有1个顾客进入的概率是多少.</t>
  </si>
  <si>
    <t>一定时间进店顾客的比率</t>
  </si>
  <si>
    <t>每分钟进店量</t>
  </si>
  <si>
    <t>=EXPONDIST(B119,C119,1)</t>
  </si>
  <si>
    <t>返回韦伯分布.使用此函数可以进行可靠性分析,比如计算设备的平均故障时间.</t>
  </si>
  <si>
    <t>WEIBULL(x,alpha,beta,cumulative)</t>
  </si>
  <si>
    <t>WEIBULL(参数值,分布参数,分布参数,指明函数的形式)</t>
  </si>
  <si>
    <t>指明函数的形式.</t>
  </si>
  <si>
    <t>1.如果x、alpha或beta为非数值型,函数WEIBULL返回错误值#VALUE!.
2.如果x&lt;0,函数WEIBULL返回错误值#NUM!.
3.如果alpha≤0或beta≤0,函数WEIBULL返回错误值#NUM!.</t>
  </si>
  <si>
    <t>机器在一定时间内发生故障的概率</t>
  </si>
  <si>
    <t>时间(年)</t>
  </si>
  <si>
    <t>=WEIBULL(B219,C219,D219,1)</t>
  </si>
  <si>
    <t>基于固定利率及等额分期付款方式,返回贷款的每期付款额.</t>
  </si>
  <si>
    <t>PMT(rate,nper,pv,fv,type)</t>
  </si>
  <si>
    <t>PMT(贷款利率,该项贷款的付款总数,本金,未来值,指定各期的付款时间是在期初还是期末)</t>
  </si>
  <si>
    <t>Rate</t>
  </si>
  <si>
    <t>贷款利率.</t>
  </si>
  <si>
    <t>Nper</t>
  </si>
  <si>
    <t>该项贷款的付款总数.</t>
  </si>
  <si>
    <t>Pv</t>
  </si>
  <si>
    <t>现值,或一系列未来付款的当前值的累积和,也称为本金.</t>
  </si>
  <si>
    <t>Fv</t>
  </si>
  <si>
    <t>为未来值,或在最后一次付款后希望得到的现金余额,如果省略fv,则假设其值为零,也就是一笔贷款的未来值为零.</t>
  </si>
  <si>
    <t>数字0或1,用以指定各期的付款时间是在期初还是期末.</t>
  </si>
  <si>
    <t>1.PMT返回的支付款项包括本金和利息,但不包括税款、保留支付或某些与贷款有关的费用.
2.应确认所指定的rate和nper单位的一致性.例如,同样是四年期年利率为12%的贷款,如果按月支付,rate应为12%/12,nper应为4*12；如果按年支付,rate应为12%,nper为4.</t>
  </si>
  <si>
    <t>Type值</t>
  </si>
  <si>
    <t>支付时间</t>
  </si>
  <si>
    <t>0或省略</t>
  </si>
  <si>
    <t>期末</t>
  </si>
  <si>
    <t>期初</t>
  </si>
  <si>
    <t>贷款计算表</t>
  </si>
  <si>
    <t>利率</t>
  </si>
  <si>
    <t>期间(年)</t>
  </si>
  <si>
    <t>借入额</t>
  </si>
  <si>
    <t>每月还贷额</t>
  </si>
  <si>
    <t>=PMT(B24/12,C24*12,D24,0)</t>
  </si>
  <si>
    <t>基于固定利率及等额分期付款方式,返回投资在某一给定期间内的本金偿还额.</t>
  </si>
  <si>
    <t>PPMT(rate,per,nper,pv,fv,type)</t>
  </si>
  <si>
    <t>PPMT(各期利率,其本金数额的期数,总投资期,现值,未来值,指定付款时间是在期初还是期末)</t>
  </si>
  <si>
    <t>为各期利率.</t>
  </si>
  <si>
    <t>Per</t>
  </si>
  <si>
    <t>用于计算其本金数额的期数,必须介于1到nper之间.</t>
  </si>
  <si>
    <t>为总投资期,即该项投资的付款期总数.</t>
  </si>
  <si>
    <t>为现值,即从该项投资开始计算时已经入帐的款项,或一系列未来付款当前值的累积和,也称为本金.</t>
  </si>
  <si>
    <t>应确认所指定的rate和nper单位的一致性.例如,同样是四年期年利率为12%的贷款,如果按月支付,rate应为12%/12,nper应为4*12；如果按年支付,rate应为12%,nper为4.</t>
  </si>
  <si>
    <t>本金相应部分计算表</t>
  </si>
  <si>
    <t>月</t>
  </si>
  <si>
    <t>借款额</t>
  </si>
  <si>
    <t>本金相应部分</t>
  </si>
  <si>
    <t>=PPMT(B124/12,C124,D124*12,E124,0)</t>
  </si>
  <si>
    <t>返回一笔贷款在给定的start-period到end-period期间累计偿还的本金数额.</t>
  </si>
  <si>
    <t>CUMPRINC(rate,nper,pv,start_period,end_period,type)</t>
  </si>
  <si>
    <t>CUMPRINC(利率,总付款期数,现值,首期,末期,付款时间类型)</t>
  </si>
  <si>
    <t>为利率.</t>
  </si>
  <si>
    <t>为总付款期数.</t>
  </si>
  <si>
    <t>为现值.</t>
  </si>
  <si>
    <t>Start_period</t>
  </si>
  <si>
    <t>为计算中的首期,付款期数从1开始计数.</t>
  </si>
  <si>
    <t>End_period</t>
  </si>
  <si>
    <t>为计算中的末期.</t>
  </si>
  <si>
    <t>为付款时间类型.</t>
  </si>
  <si>
    <t>1.如果该函数不可用,返回错误值#NAME?,请安装并加载"分析工具库"加载宏.
2.应确认所指定的rate和nper单位的一致性.例如,同样是四年期年利率为12%的贷款,如果按月支付,rate应为12%/12,nper应为4*12；如果按年支付,rate应为12%,nper为4.
3.Nper、start_period、end_period和type将被截尾取整.
4.如果rate≤0、nper≤0或pv≤0,函数CUMPRINC返回错误值#NUM!.
5.如果rate为0、nper为0或pv为0,函数CUMPRINC返回错误值#NUM!.
6.如果type为0或1之外的任何数,函数CUMPRINC返回错误值#NUM!.</t>
  </si>
  <si>
    <t>0(零)</t>
  </si>
  <si>
    <t>期末付款</t>
  </si>
  <si>
    <t>期初付款</t>
  </si>
  <si>
    <t>=CUMPRINC(B223/12,C223*12,D223,1,E223,0)</t>
  </si>
  <si>
    <t>基于固定利率及等额分期付款方式,返回给定期数内对投资的利息偿还额.</t>
  </si>
  <si>
    <t>IPMT(rate,per,nper,pv,fv,type)</t>
  </si>
  <si>
    <t>IPMT(指定利率,指定所求本金相应部分金额的期,指定偿还期间,现值,将来价格,指定付款时间是在期初还是期末)</t>
  </si>
  <si>
    <t>用于计算其利息数额的期数,必须在1到nper之间.</t>
  </si>
  <si>
    <t>为现值,即从该项投资开始计算时已经入帐的款项,或一系列未来付款的当前值的累积和,也称为本金.</t>
  </si>
  <si>
    <t>为未来值,或在最后一次付款后希望得到的现金余额.如果省略fv,则假设其值为零(例如,一笔贷款的未来值即为零).</t>
  </si>
  <si>
    <t>数字0或1,用以指定各期的付款时间是在期初还是期末.如果省略type,则假设其值为零.</t>
  </si>
  <si>
    <t>有关函数IPMT的参数和年金函数的详细信息,请参阅函数PV.</t>
  </si>
  <si>
    <t>1.应确认所指定的rate和nper单位的一致性.例如,同样是四年期年利率为12%的贷款,如果按月支付,rate应为12%/12,nper应为4*12；如果按年支付,rate应为12%,nper为4.
2.对于所有参数,支出的款项,如银行存款,表示为负数；收入的款项,如股息收入,表示为正数.</t>
  </si>
  <si>
    <t>利息相应部分计算表</t>
  </si>
  <si>
    <t>利息相应部分</t>
  </si>
  <si>
    <t>=IPMT(B324/12,C324,D324*12,E324,0)</t>
  </si>
  <si>
    <t>返回一笔贷款在给定的start-period到end-period期间累计偿还的利息数额.</t>
  </si>
  <si>
    <t>CUMIPMT(rate,nper,pv,start_period,end_period,type)</t>
  </si>
  <si>
    <t>CUMIPMT(利率,总付款期数,现值,首期,末期,0或1)</t>
  </si>
  <si>
    <t>1.如果该函数不可用,并返回错误#NAME?,请安装并加载"分析工具库"加载宏.
2.应确认所指定的rate和nper单位的一致性.例如,同样是四年期年利率为10%的贷款,如果按月支付,rate应为10%/10,nper应为4*12；如果按年支付,rate应为10%,nper为4.
3.Nper、start_period、end_period和type将被截尾取整.
4.如果rate≤0、nper≤0或pv≤0,函数CUMIPMT返回错误值#NUM!.
5.如果start_period&lt;1、end_period&lt;1或start_period&gt;end_period,函数CUMIPMT返回错误值#NUM!.
6.如果type不是数字0或1,函数CUMIPMT返回错误值#NUM!.</t>
  </si>
  <si>
    <t>Type   为付款时间类型.</t>
  </si>
  <si>
    <t>=CUMIPMT(B425/12,C425*12,D425,1,E425,0)</t>
  </si>
  <si>
    <t>计算特定投资期内要支付的利息.提供此函数是为了与Lotus1-2-3兼容.</t>
  </si>
  <si>
    <t>ISPMT(rate,per,nper,pv)</t>
  </si>
  <si>
    <t>ISPMT(利率,期数,总支付期数,贷款数额)</t>
  </si>
  <si>
    <t>为投资的利率.</t>
  </si>
  <si>
    <t>为要计算利息的期数,此值必须在1到nper之间.</t>
  </si>
  <si>
    <t>为投资的总支付期数.</t>
  </si>
  <si>
    <t>为投资的当前值.对于贷款,pv为贷款数额.</t>
  </si>
  <si>
    <t>1.应确认所指定的rate和nper单位的一致性.例如,同样是四年期年利率为12%的贷款,如果按月支付,rate应为12%/12,nper应为4*12；如果按年支付,rate应为12%,nper为4.
2.对所有参数,都以负数代表现金支出(如存款或他人取款),以正数代表现金收入(如股息分红或他人存款).
3.有关财务函数的其他信息,请参阅PV函数.</t>
  </si>
  <si>
    <t>=ISPMT(B519/12,C519,D519*12,E519)</t>
  </si>
  <si>
    <t>返回投资的现值.现值为一系列未来付款的当前值的累积和.例如,借入方的借入款即为贷出方贷款的现值.</t>
  </si>
  <si>
    <t>PV(rate,nper,pmt,fv,type)</t>
  </si>
  <si>
    <t>PV(各期利率,总投资,各期所应支付的金额,未来值,指定各期的付款时间是在期初还是期末)</t>
  </si>
  <si>
    <t>为各期利率.例如,如果按10%的年利率借入一笔贷款来购买汽车,并按月偿还贷款,则月利率为10%/12(即0.83%).可以在公式中输入10%/12、0.83%或0.0083作为rate的值.</t>
  </si>
  <si>
    <t>为总投资(或贷款)期,即该项投资(或贷款)的付款期总数.例如,对于一笔4年期按月偿还的汽车贷款,共有4*12(即48)个偿款期数.可以在公式中输入48作为nper的值.</t>
  </si>
  <si>
    <t>Pmt</t>
  </si>
  <si>
    <t>为各期所应支付的金额,其数值在整个年金期间保持不变.通常pmt包括本金和利息,但不包括其他费用及税款.例如,$10,000的年利率为12%的四年期汽车贷款的月偿还额为$263.33.可以在公式中输入-263.33作为pmt的值.如果忽略pmt,则必须包含fv参数.</t>
  </si>
  <si>
    <t>为未来值,或在最后一次支付后希望得到的现金余额,如果省略fv,则假设其值为零(一笔贷款的未来值即为零).例如,如果需要在18年后支付$50,000,则$50,000就是未来值.可以根据保守估计的利率来决定每月的存款额.如果忽略fv,则必须包含pmt参数.</t>
  </si>
  <si>
    <t>计算可借入金额</t>
  </si>
  <si>
    <t>偿还额</t>
  </si>
  <si>
    <t>可借入额</t>
  </si>
  <si>
    <t>=PV(B620/12,C620*12,D620)</t>
  </si>
  <si>
    <t>基于固定利率及等额分期付款方式,返回某项投资的未来值.</t>
  </si>
  <si>
    <t>FV(rate,nper,pmt,pv,type)</t>
  </si>
  <si>
    <t>FV(利率,付款期总数,各期所应支付的金额,现值,指定各期的付款时间是在期初还是期末)</t>
  </si>
  <si>
    <t>为各期所应支付的金额,其数值在整个年金期间保持不变.通常pmt包括本金和利息,但不包括其他费用及税款.如果忽略pmt,则必须包括pv参数.</t>
  </si>
  <si>
    <t>为现值,即从该项投资开始计算时已经入帐的款项,或一系列未来付款的当前值的累积和,也称为本金.如果省略PV,则假设其值为零,并且必须包括pmt参数.</t>
  </si>
  <si>
    <t>有关函数FV中各参数以及年金函数的详细信息,请参阅函数PV.</t>
  </si>
  <si>
    <t>1.应确认所指定的rate和nper单位的一致性.例如,同样是四年期年利率为12%的贷款,如果按月支付,rate应为12%/12,nper应为4*12；如果按年支付,rate应为12%,nper为4.
2.在所有参数中,支出的款项,如银行存款,表示为负数；收入的款项,如股息收入,表示为正数.</t>
  </si>
  <si>
    <t>计算储蓄或投资的到期额</t>
  </si>
  <si>
    <t>每月存入额</t>
  </si>
  <si>
    <t>到期额</t>
  </si>
  <si>
    <t>=FV(B21/12,C21*12,D21,0,1)</t>
  </si>
  <si>
    <t>基于一系列复利返回本金的未来值.函数FVSCHDULE用于计算某项投资在变动或可调利率下的未来值.</t>
  </si>
  <si>
    <t>FVSCHEDULE(principal,schedule)</t>
  </si>
  <si>
    <t>FVSCHEDULE(现值,利率范围)</t>
  </si>
  <si>
    <t>Principal</t>
  </si>
  <si>
    <t>Schedule </t>
  </si>
  <si>
    <t>为利率数组.</t>
  </si>
  <si>
    <t>Schedule中的值可以是数字或空白单元格；其他任何值都将在函数FVSCHEDULE的运算中产生错误值#VALUE!.空白单元格被认为是0(没有利息).</t>
  </si>
  <si>
    <t>利率发生变动时的到期领取额</t>
  </si>
  <si>
    <t>本金</t>
  </si>
  <si>
    <t>  </t>
  </si>
  <si>
    <t>=FVSCHEDULE(B118,C118:C121)</t>
  </si>
  <si>
    <t>于固定利率及等额分期付款方式,返回某项投资的总期数.</t>
  </si>
  <si>
    <t>NPER(rate,pmt,pv,fv,type)</t>
  </si>
  <si>
    <t>NPER(各期利率,各期所应支付的金额,现值,未来值,指定各期的付款时间是在期初还是期末)</t>
  </si>
  <si>
    <t>为各期利率,是一固定值.</t>
  </si>
  <si>
    <t>为各期所应支付的金额,其数值在整个年金期间保持不变.通常,pmt包括本金和利息,但不包括其他的费用及税款.</t>
  </si>
  <si>
    <t>有关函数NPER中各参数的详细说明及有关年金函数的详细信息,请参阅函数PV.</t>
  </si>
  <si>
    <t>计划贷款偿还时间</t>
  </si>
  <si>
    <t>每月偿还额</t>
  </si>
  <si>
    <t>期间</t>
  </si>
  <si>
    <t>=NPER(B223/12,C223,D223,0)</t>
  </si>
  <si>
    <t>结果为35.96个月偿还</t>
  </si>
  <si>
    <t>返回年金的各期利率.</t>
  </si>
  <si>
    <t>RATE(nper,pmt,pv,fv,type,guess)</t>
  </si>
  <si>
    <t>RATE(总投资期,各期付款额,现值,未来值,指定各期的付款时间是在期初还是期末,预期利率)</t>
  </si>
  <si>
    <t>为各期付款额,其数值在整个投资期内保持不变.通常pmt包括本金和利息,但不包括其他费用或税金.如果忽略了pmt,则必须包含fv参数.</t>
  </si>
  <si>
    <t>Guess</t>
  </si>
  <si>
    <t>为预期利率.</t>
  </si>
  <si>
    <t>1.函数RATE通过迭代法计算得出,并且可能无解或有多个解.如果在进行20次迭代计算后,函数RATE的相邻两次结果没有收敛于0.0000001,函数RATE将返回错误值#NUM!.
2.有关参数nper、pmt、pv、fv及type的详细说明,请参阅函数PV.</t>
  </si>
  <si>
    <t>应确认所指定的guess和nper单位的一致性,对于年利率为12%的4年期贷款,如果按月支付,guess为12%/12,nper为4*12；如果按年支付,guess为12%,nper为4.</t>
  </si>
  <si>
    <t>计算贷款利率</t>
  </si>
  <si>
    <t>=RATE(B324*12,C324,D324,0)</t>
  </si>
  <si>
    <t>利用给定的名义年利率和每年的复利期数,计算有效的年利率.</t>
  </si>
  <si>
    <t>EFFECT(nominal_rate,npery)</t>
  </si>
  <si>
    <t>EFFECT(名义利率,每年的复利期数)</t>
  </si>
  <si>
    <t>Nominal_rate</t>
  </si>
  <si>
    <t>为名义利率.</t>
  </si>
  <si>
    <t>Npery</t>
  </si>
  <si>
    <t>为每年的复利期数.</t>
  </si>
  <si>
    <t>1.如果该函数不可用,并返回错误值#NAME?,请安装并加载"分析工具库"加载宏.
2.Npery将被截尾取整.
3.如果任一参数为非数值型,函数EFFECT返回错误值#VALUE!.
4.如果nominal_rate≤0或npery&lt;1,函数EFFECT返回错误值#NUM!.</t>
  </si>
  <si>
    <t>名目利率</t>
  </si>
  <si>
    <t>复利计算次数</t>
  </si>
  <si>
    <t>实际年利率</t>
  </si>
  <si>
    <t>=EFFECT(B418,C418)</t>
  </si>
  <si>
    <t>基于给定的实际利率和年复利期数,返回名义年利率.</t>
  </si>
  <si>
    <t>NOMINAL(effect_rate,npery)</t>
  </si>
  <si>
    <t>NOMINAL(实际利率,每年的复利期数)</t>
  </si>
  <si>
    <t>Effect_rate</t>
  </si>
  <si>
    <t>为实际利率.</t>
  </si>
  <si>
    <t>1.如果该函数不可用,并返回错误值#NAME?,请安装并加载"分析工具库"加载宏.
2.Npery将被截尾取整.
3.如果任一参数为非数值型,函数NOMLNAL返回错误值#VALUE!.
4.如果effect_rate≤0或npery&lt;1,函数NOMLNAL返回错误值#NUM!.
5.函数NOMINAL与函数EFFECT相关.</t>
  </si>
  <si>
    <t>名目年利率</t>
  </si>
  <si>
    <t>=NOMINAL(B518,C518)</t>
  </si>
  <si>
    <t>通过使用贴现率以及一系列未来支出(负值)和收入(正值),返回一项投资的净现值.</t>
  </si>
  <si>
    <t>NPV(rate,value1,value2,...)</t>
  </si>
  <si>
    <t>NPV(某一期间的贴现率,支出及收入)</t>
  </si>
  <si>
    <t>为某一期间的贴现率,是一固定值.</t>
  </si>
  <si>
    <t>Value1……29</t>
  </si>
  <si>
    <t>为1到29个参数,代表支出及收入.</t>
  </si>
  <si>
    <t>1.Value1,value2,...在时间上必须具有相等间隔,并且都发生在期末.
2.NPV使用Value1,Value2,…的顺序来解释现金流的顺序.所以务必保证支出和收入的数额按正确的顺序输入.
3.如果参数为数值、空白单元格、逻辑值或数字的文本表达式,则都会计算在内；如果参数是错误值或不能转化为数值的文本,则被忽略.
4.如果参数是一个数组或引用,则只计算其中的数字.数组或引用中的空白单元格、逻辑值、文字及错误值将被忽略.</t>
  </si>
  <si>
    <t>函数NPV假定投资开始于value1现金流所在日期的前一期,并结束于最后一笔现金流的当期.函数NPV依据未来的现金流来进行计算.如果第一笔现金流发生在第一个周期的期初,则第一笔现金必须添加到函数NPV的结果中,而不应包含在values参数中.</t>
  </si>
  <si>
    <t>计算净现值(期末)</t>
  </si>
  <si>
    <t>帖现率</t>
  </si>
  <si>
    <t>净现值</t>
  </si>
  <si>
    <t>=NPV(B618,D620:D624)</t>
  </si>
  <si>
    <t>年度/收益</t>
  </si>
  <si>
    <t>期初投资</t>
  </si>
  <si>
    <t>返回一组现金流的净现值,这些现金流不一定定期发生.若要计算一组定期现金流的净现值,请使用函数NPV.</t>
  </si>
  <si>
    <t>XNPV(rate,values,dates)</t>
  </si>
  <si>
    <t>XNPV(贴现率,值的范围,日期范围)</t>
  </si>
  <si>
    <t>应用于现金流的贴现率.</t>
  </si>
  <si>
    <t>Values</t>
  </si>
  <si>
    <t>与dates中的支付时间相对应的一系列现金流转.首期支付是可选的,并与投资开始时的成本或支付有关.如果第一个值为成本或支付,则其必须是一个负数.所有后续支付基于的是365天/年贴现.数值系列必须至少要包含一个正数和一个负数.</t>
  </si>
  <si>
    <t>Dates</t>
  </si>
  <si>
    <t>与现金流支付相对应的支付日期表.第一个支付日期代表支付表的开始.其他日期应迟于该日期,但可按任何顺序排列.</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</si>
  <si>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3.Dates中的数值将被截尾取整.
4.如果任一参数为非数值型,函数XNPV返回错误值#VALUE！.
5.如果dates中的任一数值不是合法日期,函数XNPV返回错误值#VALUE.
6.如果dates中的任一数值先于开始日期,函数XNPV返回错误值#NUM!.
7.如果values和dates所含数值的数目不同,函数XNPV返回错误值#NUM!.</t>
  </si>
  <si>
    <t>=XNPV(B717,D719:D723,E719:E723)</t>
  </si>
  <si>
    <t>返回由数值代表的一组现金流的内部收益率.这些现金流不必为均衡的,但作为年金,它们必须按固定的间隔产生,如按月或按年.内部收益率为投资的回收利率,其中包含定期支付(负值)和定期收入(正值).</t>
  </si>
  <si>
    <t>IRR(values,guess)</t>
  </si>
  <si>
    <t>IRR(现金流量值的范围,指定内部利益率的推测值)</t>
  </si>
  <si>
    <t>为数组或单元格的引用,包含用来计算返回的内部收益率的数字.</t>
  </si>
  <si>
    <t>为对函数IRR计算结果的估计值.</t>
  </si>
  <si>
    <t>初期投资</t>
  </si>
  <si>
    <t>内部利益率</t>
  </si>
  <si>
    <t>=IRR(D18:D23)</t>
  </si>
  <si>
    <t>返回一组现金流的内部收益率,这些现金流不一定定期发生.若要计算一组定期现金流的内部收益率,请使用函数IRR.</t>
  </si>
  <si>
    <t>XIRR(values,dates,guess)</t>
  </si>
  <si>
    <t>XIRR(范围,日期范围,推测值)</t>
  </si>
  <si>
    <t>与dates中的支付时间相对应的一系列现金流.首次支付是可选的,并与投资开始时的成本或支付有关.如果第一个值是成本或支付,则它必须是负值.所有后续支付都基于365天/年贴现.系列中必须包含至少一个正值和一个负值.</t>
  </si>
  <si>
    <t>与现金流支付相对应的支付日期表.第一个支付日期代表支付表的开始.其他日期应迟于该日期,但可按任何顺序排列.应使用DATE函数来输入日期,或者将日期作为其他公式或函数的结果输入.例如,使用DATE(2008,5,23)输入2008年5月23日.如果日期以文本的形式输入,则会出现问题.</t>
  </si>
  <si>
    <t>对函数XIRR计算结果的估计值.</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</si>
  <si>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3.Dates中的数值将被截尾取整.
4.函数XIRR要求至少有一个正现金流和一个负现金流,否则函数XIRR返回错误值#NUM!.
5.如果dates中的任一数值不是合法日期,函数XIRR返回错误值#VALUE.
6.如果dates中的任一数字先于开始日期,函数XIRR返回错误值#NUM!.
7.如果values和dates所含数值的数目不同,函数XIRR返回错误值#NUM!.
8.多数情况下,不必为函数XIRR的计算提供guess值,如果省略,guess值假定为0.1(10%).
9.函数XIRR与净现值函数XNPV密切相关.函数XIRR计算的收益率即为函数XNPV=0时的利率.
10.Excel使用迭代法计算函数XIRR.通过改变收益率（从guess开始）,不断修正计算结果,直至其精度小于0.000001%.如果函数XIRR运算100次,仍未找到结果,则返回错误值#NUM!.</t>
  </si>
  <si>
    <t>计算内部利益率(不定期)</t>
  </si>
  <si>
    <t>=XIRR(D116:D121,E116:E121)</t>
  </si>
  <si>
    <t>返回某一连续期间内现金流的修正内部收益率.函数MIRR同时考虑了投资的成本和现金再投资的收益率.</t>
  </si>
  <si>
    <t>MIRR(values,finance_rate,reinvest_rate)</t>
  </si>
  <si>
    <t>MIRR(各期的一系列支出及收入,利率,现金流再投资的收益率)</t>
  </si>
  <si>
    <t>为一个数组或对包含数字的单元格的引用.这些数值代表着各期的一系列支出(负值)及收入(正值).</t>
  </si>
  <si>
    <t>Finance_rate</t>
  </si>
  <si>
    <t>为现金流中使用的资金支付的利率.</t>
  </si>
  <si>
    <t>Reinvest_rate</t>
  </si>
  <si>
    <t>为将现金流再投资的收益率.</t>
  </si>
  <si>
    <t>1.参数Values中必须至少包含一个正值和一个负值,才能计算修正后的内部收益率,否则函数MIRR会返回错误值#DIV/0!.
2.如果数组或引用参数包含文本、逻辑值或空白单元格,则这些值将被忽略；但包含零值的单元格将计算在内.
3.函数MIRR根据输入值的次序来解释现金流的次序.所以,务必按照实际的顺序输入支出和收入数额,并使用正确的正负号（现金流入用正值,现金流出用负值）.
4.如果现金流的次数为n,finance_rate为frate而reinvest_rate为rrate,</t>
  </si>
  <si>
    <t>计算修正内部利益率(定期)</t>
  </si>
  <si>
    <t>个人利率</t>
  </si>
  <si>
    <t>再投资利率</t>
  </si>
  <si>
    <t>=MIRR(D220:D225,B218,C218)</t>
  </si>
  <si>
    <t>返回定期付息有价证券的收益率,函数YIELD用于计算债券收益率.</t>
  </si>
  <si>
    <t>YIELD(settlement,maturity,rate,pr,redemption,frequency,basis)</t>
  </si>
  <si>
    <t>YIELD(成交日,到期日,利率,当前价格,结算价格,频度,基准)</t>
  </si>
  <si>
    <t>Settlement</t>
  </si>
  <si>
    <t>是证券的成交日.即在发行日之后,证券卖给购买者的日期.</t>
  </si>
  <si>
    <t>Maturity</t>
  </si>
  <si>
    <t>为有价证券的到期日.到期日是有价证券有效期截止时的日期.</t>
  </si>
  <si>
    <t>为有价证券的年息票利率.</t>
  </si>
  <si>
    <t>Pr</t>
  </si>
  <si>
    <t>为面值$100的有价证券的价格.</t>
  </si>
  <si>
    <t>Redemption</t>
  </si>
  <si>
    <t>为面值$100的有价证券的清偿价值.</t>
  </si>
  <si>
    <t>Frequency</t>
  </si>
  <si>
    <t>为年付息次数,如果按年支付,frequency=1；按半年期支付,frequency=2；按季支付,frequency=4.</t>
  </si>
  <si>
    <t>Basis</t>
  </si>
  <si>
    <t>日计数基准类型.</t>
  </si>
  <si>
    <t>应使用DATE函数来输入日期,或者将日期作为其他公式或函数的结果输入.例如,使用函数DATE(2008,5,23)输入2008年5月23日.如果日期以文本的形式输入,则会出现问题.</t>
  </si>
  <si>
    <t xml:space="preserve">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4.Settlement、maturity、frequency和basis将被截尾取整.
5.如果settlement或maturity不是合法日期,函数YIELD返回错误值#VALUE!.
6.如果rate&lt;0,函数YIELD返回错误值#NUM!.
7.如果pr≤0或redemption≤0,函数YIELD返回错误值#NUM!.
8.如果frequency不为1、2或4,函数YIELD返回错误值#NUM!.
9.如果basis&lt;0或basis&gt;4,函数YIELD返回错误值#NUM!.
10.如果settlement≥maturity,函数YIELD返回错误值#NUM!.
11.如果在清偿日之前只有一个或是没有付息期间,函数YIELD的计算公式为：
</t>
  </si>
  <si>
    <t>日计数基准</t>
  </si>
  <si>
    <t>US(NASD)30/360</t>
  </si>
  <si>
    <t>实际天数/实际天数</t>
  </si>
  <si>
    <t>实际天数/360</t>
  </si>
  <si>
    <t>实际天数/365</t>
  </si>
  <si>
    <t>欧洲30/360</t>
  </si>
  <si>
    <t>计算定期付息证券的年收益率</t>
  </si>
  <si>
    <t>成交日</t>
  </si>
  <si>
    <t>结算日</t>
  </si>
  <si>
    <t>当前价格</t>
  </si>
  <si>
    <t>结算价格</t>
  </si>
  <si>
    <t>年收益率</t>
  </si>
  <si>
    <t>=YIELD(B29,C29,D29,E29,F29,G29,1)</t>
  </si>
  <si>
    <t>返回定期付息的面值$100的有价证券的价格.</t>
  </si>
  <si>
    <t>PRICE(settlement,maturity,rate,yld,redemption,frequency,basis)</t>
  </si>
  <si>
    <t>PRICE(成交日,到期日,利率,年收益率,结算价格,频度,基准)</t>
  </si>
  <si>
    <t>Yld</t>
  </si>
  <si>
    <t>为有价证券的年收益率.</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</si>
  <si>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则是在发行日2008年1月1日的30年后,即2038年1月1日.
4.Settlement、maturity、frequency和basis将被截尾取整.
5.如果settlement或maturity不是合法日期,函数PRICE返回错误值#NUM!.
6.如果yld&lt;0或rate&lt;0,函数PRICE返回错误值#NUM!.
7.如果redemption≤0,函数PRICE返回错误值#NUM!.
8.如果frequency不为1、2或4,函数PRICE返回错误值#NUM!.
9.如果basis&lt;0或basis&gt;4,函数PRICE返回错误值#NUM!.
10.如果settlement≥maturity,函数PRICE返回错误值#NUM!.</t>
  </si>
  <si>
    <t>=PRICE(B129,C129,D129,E129,F129,G129,1)</t>
  </si>
  <si>
    <t>返回定期付息有价证券的应计利息.</t>
  </si>
  <si>
    <t>ACCRINT(issue,first_interest,settlement,rate,par,frequency,basis)</t>
  </si>
  <si>
    <t>ACCRINT(发行日,初次起息日,成交日,利率,结算价格,频度,基准)</t>
  </si>
  <si>
    <t>Issue</t>
  </si>
  <si>
    <t>为有价证券的发行日.</t>
  </si>
  <si>
    <t>First_interest</t>
  </si>
  <si>
    <t>是证券的起息日.</t>
  </si>
  <si>
    <t>Par</t>
  </si>
  <si>
    <t>为有价证券的票面价值,如果省略par,函数ACCRINT视par为$1000.</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</si>
  <si>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3.Issue、first_interest、settlement、frequency和basis将被截尾取整.
4.如果issue、first-interest或settlement不是合法日期,函数ACCRINT返回错误值#VALUE!.
5.如果利率为0或票面价值为0,函数ACCRINT返回错误值#NUM!.
6.如果frequency不是数字1、2或4,函数ACCRINT返回错误值#NUM!.
7.如果basis&lt;0或basis&gt;4,函数ACCRINT返回错误值#NUM!.
8.如果issue≥settlement,函数ACCRINT返回错误值#NUM!.</t>
  </si>
  <si>
    <t>发行日</t>
  </si>
  <si>
    <t>初次付息日</t>
  </si>
  <si>
    <t>利息</t>
  </si>
  <si>
    <t>=ACCRINT(B229,C229,D229,E229,F229,G229,1)</t>
  </si>
  <si>
    <t>返回表示成交日之前的付息日的数字.</t>
  </si>
  <si>
    <t>COUPPCD(settlement,maturity,frequency,basis)</t>
  </si>
  <si>
    <t>COUPPCD(成交日,到期日,频度,基准)</t>
  </si>
  <si>
    <t>为有价证券的成交日.成交日是在发行日之后,证券卖给购买者的日期.</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</si>
  <si>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则是在发行日2008年1月1日的30年后,即2038年1月1日.
4.所有参数将被截尾取整.
5.如果settlement或maturity不是合法日期,则COUPNCD将返回错误值#VALUE!.
6.如果frequency不为1、2或4,则COUPNCD将返回错误值#NUM!.
7.如果basis&lt;0或者basis&gt;4,则COUPNCD返回错误值#NUM!.
8.如果settlement≥maturity,则COUPNCD返回错误值#NUM!.</t>
  </si>
  <si>
    <t>计算前一次的付息日</t>
  </si>
  <si>
    <t>付息频度</t>
  </si>
  <si>
    <t>前一次付息日</t>
  </si>
  <si>
    <t>=COUPPCD(B27,C27,D27,1)</t>
  </si>
  <si>
    <t>返回一个表示在成交日之后下一个付息日的数字.</t>
  </si>
  <si>
    <t>COUPNCD(settlement,maturity,frequency,basis)</t>
  </si>
  <si>
    <t>COUPNCD(成交日,到期日,频度,基准)</t>
  </si>
  <si>
    <t>证券的到期日(结算日),指定表示时间序列号或表示日期文本.指定非整数的值时,小数部分被忽略不计.</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</si>
  <si>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则是在发行日2008年1月1日的30年后,即2038年1月1日.
4.所有参数将被截尾取整.
5.为有价证券的到期日.到期日是有价证券有效期截止时的日期.
6.如果settlement或maturity不是合法日期,则COUPNCD将返回错误值#VALUE!.
7.如果frequency不为1、2或4,则COUPNCD将返回错误值#NUM!.
8.如果basis&lt;0或者basis&gt;4,则COUPNCD返回错误值#NUM!.
9.如果settlement≥maturity,则COUPNCD返回错误值#NUM!.</t>
  </si>
  <si>
    <t>=COUPNCD(B126,C126,D126,1)</t>
  </si>
  <si>
    <t>返回当前付息期内截止到成交日的天数.</t>
  </si>
  <si>
    <t>COUPDAYBS(settlement,maturity,frequency,basis)</t>
  </si>
  <si>
    <t>COUPDAYBS(成交日,到期日,频度,基准)</t>
  </si>
  <si>
    <t>1.如果该函数不可用,并返回错误值#NAME?,请安装并加载"分析工具库"加载宏.
2.MicrosoftExcel可将日期存储为可用于计算的序列数.默认情况下,1900年1月1日的序列号是1,而2008年1月1日的序列号是39448,这是因为它距1900年1月1日有39448天.MicrosoftExcelfortheMacintosh使用另外一个默认日期系统.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4.所有参数将被截尾取整.
5.如果settlement或maturity不是合法日期,函数COUPDAYBS返回错误值#VALUE!.
6.如果frequency不是数字1、2或4,函数COUPDAYBS返回错误值#NUM!.
7.如果basis&lt;0或Basis&gt;4,函数COUPDAYBS返回错误值#NUM!.
8.如果settlement≥maturity,函数COUPDAYBS返回错误值#NUM!.</t>
  </si>
  <si>
    <t>前次付息日成交的天数</t>
  </si>
  <si>
    <t>=COUPDAYBS(B227,C227,D227,1)</t>
  </si>
  <si>
    <t>返回从成交日到下一付息日之间的天数.</t>
  </si>
  <si>
    <t>COUPDAYSNC(settlement,maturity,frequency,basis)</t>
  </si>
  <si>
    <t>COUPDAYSNC(成交日,到期日,频率,基准)</t>
  </si>
  <si>
    <t>1.如果该函数不可用,并返回错误值#NAME?,请安装并加载"分析工具库"加载宏.
2.MicrosoftExcel可将日期存储为可用于计算的序列数.默认情况下,1900年1月1日的序列号是1,而2008年1月1日的序列号是39448,这是因为它距1900年1月1日有39448天.MicrosoftExcelfortheMacintosh使用另外一个默认日期系统.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4.所有参数将被截尾取整.
5.如果settlement或maturity不是合法日期,函数COUPDAYSNC返回错误值#VALUE!.
6.如果frequency不是数字1、2或4,函数COUPDAYSNC返回错误值#NUM!.
7.如果basis&lt;0或basis&gt;4,函数COUPDAYSNC返回错误值#NUM!.
8.如果settlement≥maturity,函数COUPDAYSNC返回错误值#NUM!.</t>
  </si>
  <si>
    <t>计算成交日--下次付息日的天数</t>
  </si>
  <si>
    <t>=COUPDAYSNC(B327,C327,D327,1)</t>
  </si>
  <si>
    <t>返回成交日所在的付息期的天数.</t>
  </si>
  <si>
    <t>COUPDAYS(settlement,maturity,frequency,basis)</t>
  </si>
  <si>
    <t>COUPDAYS(成交日,到期日,频率,基准)</t>
  </si>
  <si>
    <t>1.如果该函数不可用,并返回错误值#NAME?,请安装并加载"分析工具库"加载宏.
2.MicrosoftExcel可将日期存储为可用于计算的序列数.默认情况下,1900年1月1日的序列号是1,而2008年1月1日的序列号是39448,这是因为它距1900年1月1日有39448天.MicrosoftExcelfortheMacintosh使用另外一个默认日期系统.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4.所有参数将被截尾取整.
5.如果settlement或maturity不是合法日期,函数COUPDAYS返回错误值#VALUE!.
6.如果frequency不是数字1、2或4,函数COUPDAYS返回错误值#NUM!.
7.如果basis&lt;0或basis&gt;4,函数COUPDAYS返回错误值#NUM!.
8.如果settlement≥maturity,函数COUPDAYS返回错误值#NUM!.</t>
  </si>
  <si>
    <t>计算利息计算期间的天数</t>
  </si>
  <si>
    <t>利息计算期间的天数</t>
  </si>
  <si>
    <t>=COUPDAYS(B427,C427,D427,1)</t>
  </si>
  <si>
    <t>计算定期成交日到期日的付息次数</t>
  </si>
  <si>
    <t>返回在成交日和到期日之间的付息次数,向上舍入到最近的整数.</t>
  </si>
  <si>
    <t>COUPNUM(settlement,maturity,frequency,basis)</t>
  </si>
  <si>
    <t>COUPNUM(成交日,到期日,频率,基准)</t>
  </si>
  <si>
    <t>成交日到到期日的付息次数</t>
  </si>
  <si>
    <t>=COUPNUM(B527,C527,D527,1)</t>
  </si>
  <si>
    <t>返回假设面值$100的定期付息有价证券的修正期限.期限定义为一系列现金流现值的加权平均值,用于计量债券价格对于收益率变化的敏感程度.</t>
  </si>
  <si>
    <t>DURATION(settlement,maturity,couponyld,frequency,basis)</t>
  </si>
  <si>
    <t>DURATION(成交日,到期日,利率,年收益率,频度,基准)</t>
  </si>
  <si>
    <t>Coupon</t>
  </si>
  <si>
    <t>1.如果该函数不可用,并返回错误值#NAME?,请安装并加载"分析工具库"加载宏.
2.MicrosoftExcel将日期存储为可用于计算的序列号.默认情况下,1900年1月1日的序列号是1,而2008年1月1日的序列号是39448,这是因为它距1900年1月1日有39448天.MicrosoftExcelfortheMacintosh使用另外一个默认日期系统.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4.Settlement、maturity、frequency和basis将被截尾取整.
5.如果settlement或maturity不是合法日期,函数DURATION返回错误值#VALUE!.
6.如果coupon&lt;0或yld&lt;0,函数DURATION返回错误值#NUM!.
7.如果frequency不是数字1、2或4,函数DURATION返回错误值#NUM!.
8.如果basis&lt;0或basis&gt;4,函数DURATION返回错误值#NUM!.
9.如果settlement≥maturity,函数DURATION返回错误值#NUM!.</t>
  </si>
  <si>
    <t>修正期限的计算</t>
  </si>
  <si>
    <t>修正期限</t>
  </si>
  <si>
    <t>=DURATION(B29,C29,D29,E29,F29,1)</t>
  </si>
  <si>
    <t>返回假设面值$100的有价证券的Macauley修正期限.</t>
  </si>
  <si>
    <t>MDURATION(settlement,maturity,coupon,yld,frequency,basis)</t>
  </si>
  <si>
    <t>MDURATION(成交日,到期日,利率,收益率,付息次数,基准)</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</si>
  <si>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4.Settlement、maturity、frequency和basis将被截尾取整.
5.如果settlement或maturity不是合法日期,函数MDURATION返回错误值#VALUE!.
6.如果yld&lt;0或coupon&lt;0,函数MDURATION返回错误值#NUM!.
7.如果fregueuey不是数字1、2或4,函数MDURATION返回错误值#NUM!.
8.如果basis&lt;0或basis&gt;4,函数MDURATION返回错误值#NUM!.
9.如果settlement≥maturity,函数MDURATION返回错误值#NUM!.</t>
  </si>
  <si>
    <t>Macauley修正期限的计算</t>
  </si>
  <si>
    <t>Macauley修正期限</t>
  </si>
  <si>
    <t>=MDURATION(B128,C128,D128,E128,F128,1)</t>
  </si>
  <si>
    <t>返回首期付息日不固定的有价证券(长期或短期)的收益率.</t>
  </si>
  <si>
    <t>ODDFYIELD(settlement,maturity,issue,first_coupon,rate,pr,redemption,frequency,basis)</t>
  </si>
  <si>
    <t>ODDFYIELD(成交日,到期日,发行日,最初付息日,利率,当年价格,结算价格,频度,基准)</t>
  </si>
  <si>
    <t>First_coupon</t>
  </si>
  <si>
    <t>为有价证券的首期付息日.</t>
  </si>
  <si>
    <t>为有价证券的利率.</t>
  </si>
  <si>
    <t>为有价证券的价格.</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</si>
  <si>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4.Settlement、maturity、issue、first_coupon和basis将被截尾取整.
5.如果settlement、maturity、issue或first_coupon不是合法日期,函数ODDFYIELD返回错误值#VALUE!.
6.如果rate&lt;0或pr≤0,函数ODDFYIELD返回错误值#NUM!.
7.如果basis&lt;0或basis&gt;4,函数ODDFYIELD返回错误值#NUM!.
8.必须满足下列日期条件,否则,函数ODDFYIELD返回错误值#NUM!：maturity&gt;first_coupon&gt;settlement&gt;issue
9.Excel使用迭代法计算函数ODDFYIELD.该函数基于ODDFPRICE中的公式进行牛顿迭代演算.在100次迭代过程中,收益率不断变化,直到按给定收益率导出的估计价格接近实际价格.有关函数ODDFYIELD所用公式的详细信息,请参阅ODDFPRICE.</t>
  </si>
  <si>
    <t>最初付息日</t>
  </si>
  <si>
    <t>=ODDFYIELD(B32,C32,D32,E32,F32,G32,H32,I32,1)</t>
  </si>
  <si>
    <t>返回首期付息日不固定(长期或短期)的面值$100的有价证券价格.</t>
  </si>
  <si>
    <t>ODDFPRICE(settlement,maturity,issue,first_coupon,rate,yld,redemption,frequency,basis)</t>
  </si>
  <si>
    <t>ODDFPRICE(成交日,到期日,发行日,最初付息日,利率,年收益率,结算价格,频度,基准)</t>
  </si>
  <si>
    <t>为证券的成交日.即在发行日之后,证券卖给购买者的日期.</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</si>
  <si>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则是在发行日2008年1月1日的30年后,即2038年1月1日.
4.Settlement、maturity、issue、first_coupon和basis将被截尾取整.
5.如果settlement、maturity、issue或first_coupon不是合法日期,则ODDFPRICE函数将返回错误值#VALUE!.
6.如果rate&lt;0或yld&lt;0,则ODDFPRICE函数返回错误值#NUM!.
7.如果basis&lt;0或basis&gt;4,则ODDFPRICE函数返回错误值#NUM!.
8.必须满足下列日期条件,否则,ODDFPRICE函数返回错误值#NUM!：maturity&gt;first_coupon&gt;settlement&gt;issue</t>
  </si>
  <si>
    <t>=ODDFPRICE(B131,C131,D131,E131,F131,G131,H131,I131,1)</t>
  </si>
  <si>
    <t>返回末期付息日不固定的有价证券(长期或短期)的收益率.</t>
  </si>
  <si>
    <t>ODDLYIELD(settlement,maturity,last_interest,rate,pr,redemption,frequency,basis)</t>
  </si>
  <si>
    <t>ODDLYIELD(成交日,到期日,最后付息日,利率,当前价格,结算价格,频度,基准)</t>
  </si>
  <si>
    <t>Last_interest</t>
  </si>
  <si>
    <t>为有价证券的末期付息日.</t>
  </si>
  <si>
    <t>为年付息次数.</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</si>
  <si>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4.为年付息次数,如果按年支付,frequency=1；按半年期支付,frequency=2；按季支付,frequency=4.
5.Settlement、maturity、last_interest和basis将被截尾取整.
6.如果settlement、maturity或last_interest不是合法日期,函数ODDLYIELD返回错误值#VALUE!.
7.如果rate&lt;0或pr≤0,函数ODDLYIELD返回错误值#NUM!.
8.如果basis&lt;0或basis&gt;4,函数ODDLYIELD返回错误值#NUM!.
9.必须满足下列日期条件,否则,函数ODDLYIELD返回错误值#NUM!：maturity&gt;settlement&gt;last_interest</t>
  </si>
  <si>
    <t>最后付息日</t>
  </si>
  <si>
    <t>=ODDLYIELD(B230,C230,D230,E230,F230,G230,H230,1)</t>
  </si>
  <si>
    <t>回末期付息日不固定的面值$100的有价证券(长期或短期)的价格.</t>
  </si>
  <si>
    <t>ODDLPRICE(settlement,maturity,last_interest,rate,yld,redemption,frequency,basis)</t>
  </si>
  <si>
    <t>ODDLPRICE(成交日,到期日,最后付息日,利率,年收益率,结算价格,频度,基准)</t>
  </si>
  <si>
    <t>为有价证券的成交日.即在发行日之后,证券卖给购买者的日期.</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</si>
  <si>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4.Settlement、maturity、last_interest和basis将被截尾取整.
5.如果settlement、maturity或last_interest不是合法日期,函数ODDLPRICE返回错误值#VALUE!.
6.如果rate&lt;0或yld&lt;0,函数ODDLPRICE返回错误值#NUM!.
7.如果basis&lt;0或basis&gt;4,函数ODDLPRICE返回错误值#NUM!.
8.必须满足下列日期条件,否则,函数ODDLPRICE返回错误值#NUM!.maturity&gt;settlement&gt;last_interest</t>
  </si>
  <si>
    <t>=ODDLPRICE(B330,C330,D330,E330,F330,G330,H330,1)</t>
  </si>
  <si>
    <t>返回到期付息的有价证券的年收益率.</t>
  </si>
  <si>
    <t>YIELDMAT(settlement,maturity,issue,rate,pr,basis)</t>
  </si>
  <si>
    <t>YIELDMAT(成交日,到期日,发行日,利率,当前价格,基准)</t>
  </si>
  <si>
    <t>为有价证券的发行日,以时间序列号表示.</t>
  </si>
  <si>
    <t>为有价证券在发行日的利率.</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</si>
  <si>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则是在发行日2008年1月1日的30年后,即2038年1月1日.
4.Settlement、maturity、issue和basis将被截尾取整.
5.Settlement、maturity、issue和basis将被截尾取整.
6.如果settlement、maturity或issue不是合法日期,函数YIELDMAT返回错误值#VALUE!.
7.如果rate&lt;0或pr≤0,函数YIELDMAT返回错误值#NUM!.
8.如果basis&lt;0或basis&gt;4,函数YIELDMAT返回错误值#NUM!.
9.如果settlement≥maturity,函数YIELDMAT返回错误值#NUM!.</t>
  </si>
  <si>
    <t>=YIELDMAT(B29,C29,D29,E29,F29,1)</t>
  </si>
  <si>
    <t>返回到期付息的面值$100的有价证券的价格.</t>
  </si>
  <si>
    <t>PRICEMAT(settlement,maturity,issue,rate,yld,basis)</t>
  </si>
  <si>
    <t>PRICEMAT(成交日,到期日,发行日,利率,年收益率,基准)</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</si>
  <si>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则是在发行日2008年1月1日的30年后,即2038年1月1日.
4.Settlement、maturity、issue和basis将被截尾取整.
5.如果settlement、maturity或issue不是合法日期,函数PRICEMAT返回错误值#VALUE.
6.如果rate&lt;0或yld&lt;0,函数PRICEMAT返回错误值#NUM!.
7.如果basis&lt;0或basis&gt;4,函数PRICEMAT返回错误值#NUM!.
8.如果settlement≥maturity,函数PRICEMAT返回错误值#NUM!.</t>
  </si>
  <si>
    <t>=PRICEMAT(B128,C128,D128,E128,F128,1)</t>
  </si>
  <si>
    <t>返回到期一次性付息有价证券的应计利息.</t>
  </si>
  <si>
    <t>ACCRINTM(issue,maturity,rate,par,basis)</t>
  </si>
  <si>
    <t>ACCRINTM(期间最初日,期间最后日,利率,结算价格,基准)</t>
  </si>
  <si>
    <t>为有价证券的到期日.</t>
  </si>
  <si>
    <t>为有价证券的票面价值,如果省略par,函数ACCRINTM视par为$1000.</t>
  </si>
  <si>
    <t>1.如果该函数不可用,并返回错误值#NAME?,请安装并加载"分析工具库"加载宏.
2.MicrosoftExcel可将日期存储为可用于计算的序列数.默认情况下,1900年1月1日的序列号是1,而2008年1月1日的序列号是39448,这是因为它距1900年1月1日有39448天.MicrosoftExcelfortheMacintosh使用另外一个默认日期系统.
3.Issue、settlement和basis将被截尾取整.
4.如果issue、first-interest或settlement不是合法日期,函数ACCRINTM返回错误值#VALUE!.
5.如果利率为0或票面价值为0,函数ACCRINTM返回错误值#NUM!.
6.如果basis&lt;0或basis&gt;4,函数ACCRINTM返回错误值#NUM!.
7.如果issue≥settlement,函数ACCRINTM返回错误值#NUM!.</t>
  </si>
  <si>
    <t>期间最初日</t>
  </si>
  <si>
    <t>期间最后日</t>
  </si>
  <si>
    <t>=ACCRINTM(B227,C227,D227,E227,1)</t>
  </si>
  <si>
    <t>返回折价发行的有价证券的年收益率.</t>
  </si>
  <si>
    <t>YIELDDISC(settlement,maturity,pr,redemption,basis)</t>
  </si>
  <si>
    <t>YIELDDISC(成交日,到期日,当前价格,结算价格,基准)</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</si>
  <si>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4.Settlement、maturity和basis将被截尾取整.
5.如果settlement或maturity不是有效日期,函数YIELDDISC返回错误值#VALUE!.
6.如果pr≤0或redemption≤0,函数YIELDDISC返回错误值#NUM!.
7.如果basis&lt;0或basis&gt;4,函数YIELDDISC返回错误值#NUM!.
8.如果settlement≥maturity,函数YIELDDISC返回错误值#NUM!.</t>
  </si>
  <si>
    <t>Basis参数</t>
  </si>
  <si>
    <t>到期日</t>
  </si>
  <si>
    <t>=YIELDDISC(B28,C28,D28,E28,1)</t>
  </si>
  <si>
    <t>返回一次性付息证券的利率.</t>
  </si>
  <si>
    <t>INTRATE(settlement,maturity,investment,redemption,basis)</t>
  </si>
  <si>
    <t>INTRATE(成交日,到期日,投资额,结算价格,基准)</t>
  </si>
  <si>
    <t>Investment</t>
  </si>
  <si>
    <t>为有价证券的投资额.</t>
  </si>
  <si>
    <t>为有价证券到期时的清偿价值.</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</si>
  <si>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4.Settlement、maturity和basis将被截尾取整.
5.如果settlement或maturity不是合法日期,函数INTRATE返回错误值#VALUE!.
6.如果investment≤0或redemption≤0,函数INTRATE返回错误值#NUM!.
7.如果basis&lt;0或basis&gt;4,函数IMTRATE返回错误值#NUM!.
8.如果settlement≥maturity,函数INTRATE返回错误值#NUM!.</t>
  </si>
  <si>
    <t>投资额</t>
  </si>
  <si>
    <t>=INTRATE(B127,C127,D127,E127,1)</t>
  </si>
  <si>
    <t>返回一次性付息的有价证券到期收回的金额.</t>
  </si>
  <si>
    <t>RECEIVED(settlement,maturity,investment,discount,basis)</t>
  </si>
  <si>
    <t>RECEIVED(成交日,到期日,投资额,折价率,基准)</t>
  </si>
  <si>
    <t>Discount</t>
  </si>
  <si>
    <t>为有价证券的贴现率.</t>
  </si>
  <si>
    <t>应使用DATE函数来输入日期,或者将日期作为其他公式或函数的结果输入.例如,使用函数DATE(2011,11,23)输入2011年11月23日.如果日期以文本的形式输入,则会出现问题.</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</si>
  <si>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4.Settlement、maturity和basis将被截尾取整.
5.如果settlement或maturity不是合法日期,函数RECEIVED将返回错误值#VALUE!.
6.如果investment≤0或discount≤0,函数RECEIVED返回错误值#NUM!.
7.如果basis&lt;0或basis&gt;4,函数RECEIVED将返回错误值#NUM!.
8.如果settlement≥maturity,函数RECEIVED将返回错误值#NUM!.</t>
  </si>
  <si>
    <t>折价率</t>
  </si>
  <si>
    <t>到期日支付额</t>
  </si>
  <si>
    <t>=RECEIVED(B227,C227,D227,E227,1)</t>
  </si>
  <si>
    <t>返回折价发行的面值$100的有价证券的价格.</t>
  </si>
  <si>
    <t>PRICEDISC(settlement,maturity,discount,redemption,basis)</t>
  </si>
  <si>
    <t>PRICEDISC(成交日,到期日,折价率,结算价格,基准)</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</si>
  <si>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4.Settlement、maturity和basis将被截尾取整.
5.如果settlement或maturity不是合法日期,函数PRICEDISC返回错误值#VALUE!.
6.如果discount≤0或redemption≤0,函数PRICEDISC返回错误值#NUM!.
7.如果basis&lt;0或basis&gt;4,函数PRICEDISC返回错误值#NUM!.
8.如果settlement≥maturity,函数PRICEDISC返回错误值#NUM!.</t>
  </si>
  <si>
    <t>=PRICEDISC(B327,C327,D327,E327,1)</t>
  </si>
  <si>
    <t>返回有价证券的贴现率.</t>
  </si>
  <si>
    <t>DISC(settlement,maturity,pr,redemption,basis)</t>
  </si>
  <si>
    <t>DISC(成交日,到期日,当前价格,结算价格,基准)</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</si>
  <si>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成交日是购买者买入息票(如债券)的日期.到期日是息票有效期截止时的日期.例如,在2008年1月1日发行的30年期债券,六个月后被购买者买走.则发行日为2008年1月1日,成交日为2008年7月1日,而到期日是在发行日2008年1月1日的30年后,即2038年1月1日.
4.Settlement、maturity和basis将被截尾取整.
5.如果settlement或maturity不是合法日期,函数DISC返回错误值#VALUE！.
6.如果pr≤0或redemption≤0,函数DISC返回错误值#NUM!.
7.如果basis&lt;0或basis&gt;4,函数DISC返回错误值#NUM!.
8.如果settlement≥maturity,函数DISC返回错误值#NUM!.</t>
  </si>
  <si>
    <t>=DISC(B427,C427,D427,E427,1)</t>
  </si>
  <si>
    <t>返回国库券的收益率.</t>
  </si>
  <si>
    <t>TBILLYIELD(settlement,maturity,pr)</t>
  </si>
  <si>
    <t>TBILLYIELD(成交日,到期日,当前价格)</t>
  </si>
  <si>
    <t>为国库券的成交日.即在发行日之后,国库券卖给购买者的日期.</t>
  </si>
  <si>
    <t>为国库券的到期日.到期日是国库券有效期截止时的日期.</t>
  </si>
  <si>
    <t>为面值$100的国库券的价格.</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</si>
  <si>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3.Settlement和maturity将截尾取整.
4.如果settlement或maturity不是合法日期,函数TBILLYIELD返回错误值#VALUE.
5.如果pr≤0,则函数TBILLYIELD返回错误值#NUM!.
6.如果settlement≥maturity或maturity在settlement一年之后,函数TBILLYIELD返回错误值#NUM!.</t>
  </si>
  <si>
    <t>=TBILLYIELD(B19,C19,D19)</t>
  </si>
  <si>
    <t>返回国库券的等效收益率.</t>
  </si>
  <si>
    <t>TBILLEQ(settlement,maturity,discount)</t>
  </si>
  <si>
    <t>TBILLEQ(成交日,结算日,折价率)</t>
  </si>
  <si>
    <t>为国库券的贴现率.</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</si>
  <si>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3.Settlement和maturity将截尾取整.
4.如果settlement或maturity不是合法日期,函数TBILLEQ返回错误值#VALUE!.
5.如果discount≤0,函数TBILLEQ返回错误值#NUM!.
6.如果settlement&gt;maturity或maturity在settlement之后超过一年,函数TBILLEQ返回错误值#NUM!.
7.函数TBILLEQ的计算公式为TBILLEQ=(365xrate)/(360-(ratexDSM)),式中DSM是按每年360天的基准计算的settlement与maturity之间的天数.</t>
  </si>
  <si>
    <t>证券换算收益率</t>
  </si>
  <si>
    <t>=TBILLEQ(B118,C118,D118)</t>
  </si>
  <si>
    <t>返回面值$100的国库券的价格.</t>
  </si>
  <si>
    <t>TBILLPRICE(settlement,maturity,discount)</t>
  </si>
  <si>
    <t>TBILLPRICE(成交日,到期日,折价率)</t>
  </si>
  <si>
    <t>1.如果该函数不可用,并返回错误值#NAME?,请安装并加载"分析工具库"加载宏.
2.MicrosoftExcel可将日期存储为可用于计算的序列号.默认情况下,1900年1月1日的序列号是1,而2008年1月1日的序列号是39448,这是因为它距1900年1月1日有39448天.MicrosoftExcelfortheMacintosh使用另外一个默认日期系统.
3.Settlement和maturity将截尾取整.
4.如果settlement或maturity不是合法日期,函数TBILLPRICE返回错误值#VALUE.
5.如果discount≤0,函数TBILLPRICE返回错误值#NUM!.
6.如果settlement&gt;maturity或maturity在settlement之后超过一年,函数TBILLPRICE返回错误值#NUM!.</t>
  </si>
  <si>
    <t>=TBILLPRICE(B218,C218,D218)</t>
  </si>
  <si>
    <t>将按分数表示的价格转换为按小数表示的价格,使用函数DOLLARDE可以将分数表示的金额数字,如证券价格,转换为小数表示的数字.</t>
  </si>
  <si>
    <t>DOLLARDE(fractional_dollar,fraction)</t>
  </si>
  <si>
    <t>DOLLARDE(分子,分母)</t>
  </si>
  <si>
    <t>Fractional_dollar</t>
  </si>
  <si>
    <t>以分数表示的数字.</t>
  </si>
  <si>
    <t>Fraction</t>
  </si>
  <si>
    <t>分数中的分母,为一个整数.</t>
  </si>
  <si>
    <t>1.如果该函数不可用,并返回错误值#NAME?,请安装并加载"分析工具库"加载宏.
2.如果fraction不是整数,将被截尾取整.
3.如果fraction小于0,函数DOLLARDE返回错误值#NUM!.
4.如果fraction为0,函数DOLLARDE返回错误值#DIV/0!.</t>
  </si>
  <si>
    <t>将按分数表示的价格 1.02（读作一又十六分之二）转换为按小数表示的价格 (1.125)</t>
  </si>
  <si>
    <t>将按分数表示的价格 1.1（读作一又三十二分之十）转换为按小数表示的价格 (1.3125)</t>
  </si>
  <si>
    <t>将按小数表示的价格转换为按分数表示的价格.使用函数DOLLARFR可以将小数表示的金额数字,如证券价格,转换为分数型数字.</t>
  </si>
  <si>
    <t>DOLLARFR(decimal_dollar,fraction)</t>
  </si>
  <si>
    <t>DOLLARFR(小数值,分母)</t>
  </si>
  <si>
    <t>Decimal_dollar</t>
  </si>
  <si>
    <t>为小数.</t>
  </si>
  <si>
    <t>1.如果该函数不可用,并返回错误值#NAME?,请安装并加载"分析工具库"加载宏.
2.如果fraction不是整数,将被截尾取整.
3.如果fraction小于0,函数DOLLARFR返回错误值#NUM!.
4.如果fraction为0,函数DOLLARFR返回错误值#DIV/0!.</t>
  </si>
  <si>
    <t>将按小数表示的数 1.125 转换为按分数表示的数（读作一又十六分之二）(1.02)</t>
  </si>
  <si>
    <t>将按小数表示的数 1.125 转换为按分数表示的数（读作一又八分之一）(1.04)</t>
  </si>
  <si>
    <t>返回某项资产在一个期间中的线性折旧值.</t>
  </si>
  <si>
    <t>SLN(cost,salvage,life)</t>
  </si>
  <si>
    <t>SLN(资产原值,资产残值,折旧期限)</t>
  </si>
  <si>
    <t>Cost</t>
  </si>
  <si>
    <t>为资产原值.</t>
  </si>
  <si>
    <t>Salvage</t>
  </si>
  <si>
    <t>为资产在折旧期末的价值(也称为资产残值).</t>
  </si>
  <si>
    <t>Life</t>
  </si>
  <si>
    <t>为折旧期限(有时也称作资产的使用寿命).</t>
  </si>
  <si>
    <t>资产的取得价格</t>
  </si>
  <si>
    <t>残余价格</t>
  </si>
  <si>
    <t>折旧年数</t>
  </si>
  <si>
    <t>折旧费</t>
  </si>
  <si>
    <t>=SLN(B19,C19,D19)</t>
  </si>
  <si>
    <t>使用固定余额递减法,计算一笔资产在给定期间内的折旧值.</t>
  </si>
  <si>
    <t>DB(cost,salvage,life,period,month)</t>
  </si>
  <si>
    <t>DB(资产原值,折旧期末的价值,折旧期限,折旧值的期间,第一年的月份数)</t>
  </si>
  <si>
    <t>Period</t>
  </si>
  <si>
    <t>Month</t>
  </si>
  <si>
    <t>为第一年的月份数,如省略,则假设为12.</t>
  </si>
  <si>
    <t>首年度的月数</t>
  </si>
  <si>
    <t>=DB(B120,C120,D120,F120,E120)</t>
  </si>
  <si>
    <t>用双倍余额递减法或其他指定方法,计算一笔资产在给定期间内的折旧值.</t>
  </si>
  <si>
    <t>DDB(cost,salvage,life,period,factor)</t>
  </si>
  <si>
    <t>DDB(资产原值,折旧期末的价值,折旧期限,计算折旧值的期间,余额递减速率)</t>
  </si>
  <si>
    <t>为需要计算折旧值的期间.Period必须使用与life相同的单位.</t>
  </si>
  <si>
    <t>Factor</t>
  </si>
  <si>
    <t>为余额递减速率.如果factor被省略,则假设为2(双倍余额递减法).</t>
  </si>
  <si>
    <t>双倍余额递减法以加速的比率计算折旧.折旧在第一阶段是最高的,在后继阶段中会减少.DDB使用下面的公式计算一个阶段的折旧值：
1.((资产原值-资产残值)-前面阶段的折旧总值)*(余额递减速率/生命周期).
2.如果不想使用双倍余额递减法,更改余额递减速率.
3.当折旧大于余额递减计算值时,如果希望转换到直线余额递减法,请使用VDB函数.</t>
  </si>
  <si>
    <t>资产原值</t>
  </si>
  <si>
    <t>资产残值</t>
  </si>
  <si>
    <t>使用寿命</t>
  </si>
  <si>
    <t>计算第一天的折旧值.MicrosoftExcel自动将factor设置为2.(1.32)</t>
  </si>
  <si>
    <t>计算第一个月的折旧值(40.00)</t>
  </si>
  <si>
    <t>计算第一年的折旧值(480.00)</t>
  </si>
  <si>
    <t>计算第二年的折旧值,使用了1.5的余额递减速率,而不用双倍余额递减法(306.00)</t>
  </si>
  <si>
    <t>计算第十年的折旧值,MicrosoftExcel自动将factor设置为2(22.12)</t>
  </si>
  <si>
    <t>使用双倍余额递减法或其他指定的方法,返回指定的任何期间内(包括部分期间)的资产折旧值.函数VDB代表可变余额递减法.</t>
  </si>
  <si>
    <t>VDB(cost,salvage,life,start_period,end_period,factor,no_switch)</t>
  </si>
  <si>
    <t>VDB(资产原值,折旧期末的价值,折旧期限,起始期间,截止期间,余额递减速率,逻辑值)</t>
  </si>
  <si>
    <t>为进行折旧计算的起始期间,Start_period必须与life的单位相同.</t>
  </si>
  <si>
    <t>为进行折旧计算的截止期间,End_period必须与life的单位相同.</t>
  </si>
  <si>
    <t>为余额递减速率(折旧因子),如果省略参数factor,则函数假设factor为2(双倍余额递减法).如果不想使用双倍余额递减法,可改变参数factor的值.有关双倍余额递减法的详细说明,请参阅函数DDB.</t>
  </si>
  <si>
    <t>No_switch</t>
  </si>
  <si>
    <t>为一逻辑值,指定当折旧值大于余额递减计算值时,是否转用直线折旧法.</t>
  </si>
  <si>
    <t>1.如果no_switch为TRUE,即使折旧值大于余额递减计算值,MicrosoftExcel也不转用直线折旧法.
2.如果no_switch为FALSE或被忽略,且折旧值大于余额递减计算值时,Excel将转用线性折旧法.
3.除no_switch外的所有参数必须为正数.</t>
  </si>
  <si>
    <t>说明(结果)</t>
  </si>
  <si>
    <t>第一天的折旧值.Excel自动假定折旧因子为2(1.32)</t>
  </si>
  <si>
    <t>第一个月的折旧值(40.00)</t>
  </si>
  <si>
    <t>第一年的折旧值(480.00)</t>
  </si>
  <si>
    <t>在第六个月与第十八个月之间的折旧值(396.31)</t>
  </si>
  <si>
    <t>在第六个月与第十八个月之间的折旧值(用折旧因子1.5代替双倍余额法)(311.81)</t>
  </si>
  <si>
    <t>拥有资产的第一个财政年的折旧值(假定税法限制余额递减的折旧为150%).资产在财政年的第一个季度中间购买.(315.00)</t>
  </si>
  <si>
    <t>返回某项资产按年限总和折旧法计算的指定期间的折旧值.</t>
  </si>
  <si>
    <t>SYD(cost,salvage,life,per)</t>
  </si>
  <si>
    <t>SYD(资产原值,资产残值,折旧期限,期间)</t>
  </si>
  <si>
    <t>为期间,其单位与life相同.</t>
  </si>
  <si>
    <t>第一年的折旧值(4,090.91)</t>
  </si>
  <si>
    <t>第十年的折旧值(409.09)</t>
  </si>
  <si>
    <t>返回每个结算期间的折旧值,该函数为法国会计系统提供.如果某项资产是在结算期间的中期购入的,则按线性折旧法计算.</t>
  </si>
  <si>
    <t>AMORLINC(cost,date_purchased,first_period,salvage,period,rate,basis)</t>
  </si>
  <si>
    <t>AMORLINC(资产原值,购入资产的日期,第一个期间结束时的日期,残值,期间,折旧率,年基准)</t>
  </si>
  <si>
    <t>资产原值.</t>
  </si>
  <si>
    <t>Date_purchased</t>
  </si>
  <si>
    <t>购入资产的日期.</t>
  </si>
  <si>
    <t>First_period</t>
  </si>
  <si>
    <t>第一个期间结束时的日期.</t>
  </si>
  <si>
    <t>资产在使用寿命结束时的残值.</t>
  </si>
  <si>
    <t>期间.</t>
  </si>
  <si>
    <t>为折旧率.</t>
  </si>
  <si>
    <t>所使用的年基准.</t>
  </si>
  <si>
    <t>购入资产的日期</t>
  </si>
  <si>
    <t>第一个期间结束时的日期</t>
  </si>
  <si>
    <t>折旧率</t>
  </si>
  <si>
    <t>使用的年基准(请参见上面的信息)</t>
  </si>
  <si>
    <t>第一个期间的折旧值(360)</t>
  </si>
  <si>
    <t>返回每个结算期间的折旧值.</t>
  </si>
  <si>
    <t>AMORDEGRC(cost,date_purchased,first_period,salvage,period,rate,basis)</t>
  </si>
  <si>
    <t>AMORDEGRC(资产原值,购入资产的日期,第一个期间结束时的日期,寿命结束时的残值,期间,折旧率,基准)</t>
  </si>
  <si>
    <t>该函数主要为法国会计系统提供.如果某项资产是在该结算期的中期购入的,则按直线折旧法计算.该函数与函数AMORLINC相似,不同之处在于该函数中用于计算的折旧系数取决于资产的寿命.</t>
  </si>
  <si>
    <t>1.如果该函数不可用,并返回错误值#NAME?,请安装并加载"分析工具库"加载宏.
2.应使用DATE函数来输入日期,或者将日期作为其他公式或函数的结果输入.例如,使用函数DATE(2008,5,23)输入2008年5月23日.如果日期以文本的形式输入,则会出现问题.</t>
  </si>
  <si>
    <t>第一个期间的折旧值(776)</t>
  </si>
  <si>
    <t>将二进制数转换为八进制数.</t>
  </si>
  <si>
    <t>将二进制数转换为八进制.</t>
  </si>
  <si>
    <t>BIN2OCT(number,places)</t>
  </si>
  <si>
    <t>BIN2OCT(待转换的二进制数,所要使用的字符数)</t>
  </si>
  <si>
    <t>待转换的二进制数.Number的位数不能多于10位(二进制位),最高位为符号位,后9位为数字位.负数用二进制数补码表示.</t>
  </si>
  <si>
    <t>Places</t>
  </si>
  <si>
    <t>所要使用的字符数.如果省略places,函数DEC2BIN用能表示此数的最少字符来表示.当需要在返回的数值前置零时,places尤其有用.</t>
  </si>
  <si>
    <t>1.如果该函数不可用,并返回错误值#NAME?,请安装并加载"分析工具库"加载宏.
2.如果数字为非法二进制数或位数多于10位,BIN2OCT返回错误值#NUM!.
3.如果数字为负数,BIN2OCT忽略pLaces,返回以十个字符表示的八进制数.
4.如果BIN2OCT需要比places指定的更多的位数,将返回错误值#NUM!.
5.如果places不是整数,将截尾取整.
6.如果places为非数值型,BIN2OCT返回错误值#VALUE!.
7.如果places为负值,BIN2OCT返回错误值#NUM!.</t>
  </si>
  <si>
    <t>=BIN2OCT(1001,3)</t>
  </si>
  <si>
    <t>将二进制数1001转换为3个字符的八进制数(011)</t>
  </si>
  <si>
    <t>=BIN2OCT(1100100)</t>
  </si>
  <si>
    <t>将二进制数1100100转换为八进制数(144)</t>
  </si>
  <si>
    <t>=BIN2OCT(1111111111)</t>
  </si>
  <si>
    <t>将二进制数1111111111转换为八进制数(7777777777)</t>
  </si>
  <si>
    <t>将二进制数转换为十进制数.</t>
  </si>
  <si>
    <t>BIN2DEC(number)</t>
  </si>
  <si>
    <t>BIN2DEC(待转换的二进制数)</t>
  </si>
  <si>
    <t>1.如果该函数不可用,并返回错误值#NAME?,请安装并加载"分析工具库"加载宏.
2.如果数字为非法二进制数或位数多于10位(二进制位),BIN2DEC返回错误值#NUM!.</t>
  </si>
  <si>
    <t>=BIN2DEC(1100100)</t>
  </si>
  <si>
    <t>将二进制数1100100转换为十进制数(100)</t>
  </si>
  <si>
    <t>=BIN2DEC(1111111111)</t>
  </si>
  <si>
    <t>将二进制数1111111111转换为十进制数(-1)</t>
  </si>
  <si>
    <t>将二进制数转换为十六进制数.</t>
  </si>
  <si>
    <t>BIN2HEX(number,places)</t>
  </si>
  <si>
    <t>BIN2HEX(待转换的二进制数,所要使用的字符数)</t>
  </si>
  <si>
    <t>1.如果该函数不可用,并返回错误值#NAME?,请安装并加载"分析工具库"加载宏.
2.如果数字为非法二进制数或位数多于10位,BINZHEX返回错误值#NUM!.
3.如果数字为负数,BINZHEX忽略places,返回以十个字符表示的十六进制数.
4.如果BINZHEX需要比places指定的更多的位数,将返回错误值#NUM!.
5.如果places不是整数,将截尾取整.
6.如果places为非数值型,BINZHEX返回错误值#VALUE!.
7.如果places为负值,BINZHEX返回错误值#NUM!.</t>
  </si>
  <si>
    <t>=BIN2HEX(11111011,4)</t>
  </si>
  <si>
    <t>将二进数11111011转换为4个字符的十六进制数(00FB)</t>
  </si>
  <si>
    <t>=BIN2HEX(1110)</t>
  </si>
  <si>
    <t>将二进制数1110转换为十六进制数(E)</t>
  </si>
  <si>
    <t>=BIN2HEX(1111111111)</t>
  </si>
  <si>
    <t>将二进制数1111111111转换为十六进制数(FFFFFFFFFF)</t>
  </si>
  <si>
    <t>OCT2BIN(number,places)</t>
  </si>
  <si>
    <t>OCT2BIN(待转换的八进制数,所要使用的字符数)</t>
  </si>
  <si>
    <t>待转换的八进制数.参数number不能多于10位.数字的最高位(二进制位)是符号位,其他29位是数据位.负数用二进制数的补码表示.</t>
  </si>
  <si>
    <t>所要使用的字符数.如果省略places,函数OCT2BIN用能表示此数的最少字符来表示.当需要在返回的数值前置零时,places尤其有用.</t>
  </si>
  <si>
    <t>1.如果该函数不可用,并返回错误值#NAME?,请安装并加载"分析工具库"加载宏.
2.如果参数number为负数,函数OCT2BIN将忽略places,返回10位二进制数.
3.如果参数number为负数,不能小于7777777000；如果参数Number为正数,不能大于777.
4.如果参数number不是有效的八进制数,函数OCT2BIN返回错误值#NUM!.
5.如果函数OCT2BIN需要比places指定的更多的位数,将返回错误值#NUM!.
6.如果places不是整数,将截尾取整.
7.如果places为非数值型,函数OCT2BIN返回错误值#VALUE!.
8.如果places为负数,函数OCT2BIN返回错误值#NUM!.</t>
  </si>
  <si>
    <t>=OCT2BIN(3,3)</t>
  </si>
  <si>
    <t>将八进制数3转换为包含3个字符的二进制数(011)</t>
  </si>
  <si>
    <t>=OCT2BIN(7777777000)</t>
  </si>
  <si>
    <t>将八进制数7777777000转换为二进制数(1000000000)</t>
  </si>
  <si>
    <t>将八进制数转换为十进制数.</t>
  </si>
  <si>
    <t>OCT2DEC(number)</t>
  </si>
  <si>
    <t>OCT2DEC(待转换的八进制数)</t>
  </si>
  <si>
    <t>待转换的八进制数.参数number的位数不能多于10位(30个二进制位).数字的最高位(二进制位)是符号位,其他29位是数据位,负数用二进制数的补码表示.</t>
  </si>
  <si>
    <t>1.如果该函数不可用,并返回错误值#NAME?,请安装并加载"分析工具库"加载宏.
2.如果参数不是有效的八进制数,函数OCT2DEC返回错误值#NUM!.</t>
  </si>
  <si>
    <t>=OCT2DEC(54)</t>
  </si>
  <si>
    <t>将八进制数54转换为十进制数(44)</t>
  </si>
  <si>
    <t>=OCT2DEC(7777777533)</t>
  </si>
  <si>
    <t>将八进制数7777777533转换为十进制数(-165)</t>
  </si>
  <si>
    <t>将十进制数转换为十六进制数.</t>
  </si>
  <si>
    <t>DEC2HEX(number,places)</t>
  </si>
  <si>
    <t>DEC2HEX(待转换的十进制数,所要使用的字符数)</t>
  </si>
  <si>
    <t>待转换的十进制数.如果参数number是负数,则省略places.函数DEC2HEX返回10位十六进制数(40位二进制数),最高位为符号位,其余39位是数字位.负数用二进制数的补码表示.</t>
  </si>
  <si>
    <t>所要使用的字符数,如果省略places,函数DEC2HEX用能表示此数的最少字符来表示.当需要在返回的数值前置零时places尤其有用.</t>
  </si>
  <si>
    <t>1.如果该函数不可用,并返回错误值#NAME?,请安装并加载"分析工具库"加载宏.
2.如果number&lt;-549、755、813、888或者number&gt;549、755、813、887,则函数DEC2HEX返回错误值#NUM!.
3.如果参数number为非数值型,函数DEC2HEX将返回错误值#VALUE!.
4.如果函数DEC2HEX需要比places指定的更多的位数,将返回错误值#NUM!.
5.如果places不是整数,将截尾取整.
6.如果places为非数值型,函数DEC2HEX将返回错误值#VALUE!.
7.如果places为负值,函数DEC2HEX将返回错误值#NUM!.</t>
  </si>
  <si>
    <t>=DEC2HEX(100,4)</t>
  </si>
  <si>
    <t>将十进制数100转换为4个字符的十六进制数(0064)</t>
  </si>
  <si>
    <t>=DEC2HEX(-54)</t>
  </si>
  <si>
    <t>将十进制数-54转换为十六进制数(FFFFFFFFCA)</t>
  </si>
  <si>
    <t>将十进制数转换为二进制数.</t>
  </si>
  <si>
    <t>DEC2BIN(number,places)</t>
  </si>
  <si>
    <t>DEC2BIN(待转换的十进制数,所要使用的字符数)</t>
  </si>
  <si>
    <t>待转换的十进制数.如果参数number是负数,则省略places.函数DEC2BIN返回10位二进制数,最高位为符号位,其余9位是数字位.负数用二进制数的补码表示.</t>
  </si>
  <si>
    <t>1.如果该函数不可用,并返回错误值#NAME?,请安装并加载"分析工具库"加载宏.
2.如果number&lt;-512或number&gt;511,函数DEC2BIN返回错误值#NUM!.
3.如果参数number为非数值型,函数DEC2BIN返回错误值#VALUE!.
4.如果函数DEC2BIN需要比places指定的更多的位数,将返回错误值#NUM!.
5.如果places不是整数,将截尾取整.
6.如果places为非数值型,函数DEC2BIN返回错误值#VALUE!.
7.如果places为负值,函数DEC2BIN返回错误值#NUM!.</t>
  </si>
  <si>
    <t>=DEC2BIN(9,4)</t>
  </si>
  <si>
    <t>将十进制数9转换为4个字符的二进制数(1001)</t>
  </si>
  <si>
    <t>=DEC2BIN(-100)</t>
  </si>
  <si>
    <t>将十进制数-100转换为二进制数(1110011100)</t>
  </si>
  <si>
    <t>将十进制数转换为八进制数.</t>
  </si>
  <si>
    <t>DEC2OCT(number,places)</t>
  </si>
  <si>
    <t>DEC2OCT(待转换的十进制数,所要使用的字符数)</t>
  </si>
  <si>
    <t>待转换的十进制数.如果参数Number是负数,则省略places.函数DEC2OCT返回10位八进制数(30位二进制数),最高位为符号位,其余29位是数字位.负数用二进制数的补码表示.</t>
  </si>
  <si>
    <t>所要使用的字符数,如果省略places,函数DEC2OCT用能表示此数的最少字符来表示.当需要在返回的数值前置零时places尤其有用.</t>
  </si>
  <si>
    <t>1.如果该函数不可用,并返回错误值#NAME?,请安装并加载"分析工具库"加载宏.
2.如果number&lt;-536,870,912或者number&gt;535,870,911,函数DEC2OCT将返回错误值#NUM!.
3.如果参数number为非数值型,函数DEC2OCT将返回错误值#VALUE!.
4.如果函数DEC2OCT需要比places指定的更多的位数,将返回错误值#NUM!.
5.如果places不是整数,将截尾取整.
6.如果places为非数值型,函数DEC2OCT将返回错误值#VALUE!.
7.如果places为负值,函数DEC2OCT将返回错误值#NUM!.</t>
  </si>
  <si>
    <t>=DEC2OCT(58,3)</t>
  </si>
  <si>
    <t>将十进制数58转换为八进制数(072)</t>
  </si>
  <si>
    <t>=DEC2OCT(-100)</t>
  </si>
  <si>
    <t>将十进制数-100转换为八进制数(7777777634)</t>
  </si>
  <si>
    <t>将十六进制数转换为二进制数.</t>
  </si>
  <si>
    <t>HEX2BIN(number,places)</t>
  </si>
  <si>
    <t>HEX2BIN(转换的十六进制数,要使用的字符数)</t>
  </si>
  <si>
    <t>待转换的十六进制数.参数的位数不能多于10位,最高位为符号位(从右算起第40个二进制位),其余39位是数字位.负数用二进制数的补码表示.</t>
  </si>
  <si>
    <t>所要使用的字符数.如果省略places,函数HEX2BIN用能表示此数的最少字符来表示.当需要在返回的数值前置零时,places尤其有用.</t>
  </si>
  <si>
    <t>1.如果该函数不可用,并返回错误值#NAME?,请安装并加载"分析工具库"加载宏.
2.如果参数number为负数,则函数HEX2BIN将忽略places,返回10位二进制数.
3.如果参数number为负数,不能小于FFFFFFFE00；如果参数number为正数,不能大于1FF.
4.如果参数Number不是合法的十六进制数,则函数HEX2BIN返回错误值#NUM!.
5.如果HEX2BIN需要比places指定的更多的位数,将返回错误值#NUM!.
6.如果places不是整数,将截尾取整.
7.如果places为非数值型,函数HEX2BIN返回错误值#VALUE!.
8.如果places为负值,函数HEX2BIN返回错误值#NUM!.</t>
  </si>
  <si>
    <t>=HEX2BIN("F",8)</t>
  </si>
  <si>
    <t>将十六进制数F转换为8个字符的二进制数(00001111)</t>
  </si>
  <si>
    <t>=HEX2BIN("B7")</t>
  </si>
  <si>
    <t>将十六进制数B7转换为二进制数(10110111)</t>
  </si>
  <si>
    <t>=HEX2BIN("FFFFFFFFFF")</t>
  </si>
  <si>
    <t>将十六进制数FFFFFFFFFF转换为二进制数(1111111111)</t>
  </si>
  <si>
    <t>将十六进制数转换为八进制数.</t>
  </si>
  <si>
    <t>HEX2OCT(number,places)</t>
  </si>
  <si>
    <t>HEX2OCT(待转换的十六进制数,所要使用的字符数)</t>
  </si>
  <si>
    <t>待转换的十六进制数.参数Number的位数不能多于10位,最高位(二进制位)为符号位,其余39位(二进制位)是数字位.负数用二进制数的补码表示.</t>
  </si>
  <si>
    <t>所要使用的字符数.如果省略places,函数HEX2OCT用能表示此数的最少字符来表示.当需要在返回的数值前置零时,places尤其有用.</t>
  </si>
  <si>
    <t>1.如果该函数不可用,并返回错误值#NAME?,请安装并加载"分析工具库"加载宏.
2.如果参数Number为负数,则函数HEX2OCT将忽略places,返回10位八进制数.
3.如果参数Number为负数,不能小于FFE0000000；如果参数Number为正数,不能大于1FFFFFFF.
4.如果参数Number不是合法的十六进制数,则函数HEX2OCT返回错误值#NUM!.
5.如果HEX2OCT需要比places指定的更多的位数,将返回错误值#NUM!.
6.如果places不是整数,将截尾取整.
7.如果places为非数值型,函数HEX2OCT返回错误值#VALUE!.
8.如果places为负值,函数HEX2OCT返回错误值#NUM!.</t>
  </si>
  <si>
    <t>=HEX2OCT("F",3)</t>
  </si>
  <si>
    <t>将十六进制数F转换为3个字符的八进制数(017)</t>
  </si>
  <si>
    <t>=HEX2OCT("3B4E")</t>
  </si>
  <si>
    <t>将十六进制数3B4E转换为八进制数(35516)</t>
  </si>
  <si>
    <t>=HEX2OCT("FFFFFFFF00")</t>
  </si>
  <si>
    <t>将十六进制数FFFFFFFF00转换为八进制数(7777777400)</t>
  </si>
  <si>
    <t>将十六进制数转换为十进制数.</t>
  </si>
  <si>
    <t>HEX2DEC(number)</t>
  </si>
  <si>
    <t>HEX2DEC(待转换的十六进制数)</t>
  </si>
  <si>
    <t>待转换的十六进制数.参数number的位数不能多于10位(40位二进制),最高位为符号位,其余39位是数字位.负数用二进制数的补码表示.</t>
  </si>
  <si>
    <t>1.如果该函数不可用,并返回错误值#NAME?,请安装并加载"分析工具库"加载宏.
2.如果参数Number不是合法的十六进制数,则函数HEC2DEC返回错误值#NUM!.</t>
  </si>
  <si>
    <t>=HEX2DEC("A5")</t>
  </si>
  <si>
    <t>将十六进制数A5转换为十进制数(165)</t>
  </si>
  <si>
    <t>=HEX2DEC("FFFFFFFF5B")</t>
  </si>
  <si>
    <t>将十六进制数FFFFFFFF5B转换为十进制数(-165)</t>
  </si>
  <si>
    <t>=HEX2DEC("3DA408B9")</t>
  </si>
  <si>
    <t>将十六进制数3DA408B9转换为十进制数(1034160313)</t>
  </si>
  <si>
    <t>将实系数及虚系数转换为x+yi或x+yj形式的复数.</t>
  </si>
  <si>
    <t>COMPLEX(real_num,i_num,suffix)</t>
  </si>
  <si>
    <t>COMPLEX(实部,虚部,后缀)</t>
  </si>
  <si>
    <t>Real_num</t>
  </si>
  <si>
    <t>复数的实部.</t>
  </si>
  <si>
    <t>I_num</t>
  </si>
  <si>
    <t>复数的虚部.</t>
  </si>
  <si>
    <t>Suffix</t>
  </si>
  <si>
    <t>复数中虚部的后缀,如果省略,则认为它为i.</t>
  </si>
  <si>
    <t>所有复数函数均接受i和j作为后缀,但不接受I和J.使用大写将导致错误值#VALUE!.使用两个或多个复数的函数要求所有复数的后缀一致.</t>
  </si>
  <si>
    <t>1.如果该函数不可用,并返回错误值#NAME?,请安装并加载"分析工具库"加载宏.
2.如果real_num为非数值型,函数COMPLEX返回错误值#VALUE!.
3.如果i_num为非数值型,函数COMPLEX返回错误值#VALUE!.
4.如果后缀不是i或j,函数COMPLEX返回错误值#VALUE!.</t>
  </si>
  <si>
    <t>=COMPLEX(3,4)</t>
  </si>
  <si>
    <t>实部为3,虚部为4的复数(3+4i)</t>
  </si>
  <si>
    <t>=COMPLEX(3,4,"j")</t>
  </si>
  <si>
    <t>实部为3,虚部为4,后缀为j的复数(3+4j)</t>
  </si>
  <si>
    <t>=COMPLEX(0,1)</t>
  </si>
  <si>
    <t>实部为0,虚部为1的复数(i)</t>
  </si>
  <si>
    <t>=COMPLEX(1,0)</t>
  </si>
  <si>
    <t>实部为1,虚部为0的复数(1)</t>
  </si>
  <si>
    <t>返回以x+yi或x+yj文本格式表示的复数的实系数.</t>
  </si>
  <si>
    <t>IMREAL(inumber)</t>
  </si>
  <si>
    <t>IMREAL(需要计算其实系数的复数)</t>
  </si>
  <si>
    <t>Inumber</t>
  </si>
  <si>
    <t>为需要计算其实系数的复数.</t>
  </si>
  <si>
    <t>使用函数COMPLEX可以将实系数和虚系数复合为复数.</t>
  </si>
  <si>
    <t>=IMREAL("6-9i")</t>
  </si>
  <si>
    <t>返回复数6-9i的实系数(6)</t>
  </si>
  <si>
    <t>返回以x+yi或x+yj文本格式表示的复数的虚系数.</t>
  </si>
  <si>
    <t>IMAGINARY(inumber)</t>
  </si>
  <si>
    <t>IMAGINARY(需要计算其虚系数的复数)</t>
  </si>
  <si>
    <t>为需要计算其虚系数的复数.</t>
  </si>
  <si>
    <t>=IMAGINARY("3+4i")</t>
  </si>
  <si>
    <t>返回复数3+4i的虚系数(4)</t>
  </si>
  <si>
    <t>=IMAGINARY("0-j")</t>
  </si>
  <si>
    <t>返回复数0-j的虚系数(-1)</t>
  </si>
  <si>
    <t>=IMAGINARY(4)</t>
  </si>
  <si>
    <t>返回复数4的虚系数(0)</t>
  </si>
  <si>
    <t>返回以x+yi或x+yj文本格式表示的复数的共轭复数.</t>
  </si>
  <si>
    <t>IMCONJUGATE(inumber)</t>
  </si>
  <si>
    <t>IMCONJUGATE(需要计算其共轭数的复数.)</t>
  </si>
  <si>
    <t>为需要计算其共轭数的复数.</t>
  </si>
  <si>
    <t>=IMCONJUGATE("3+4i")</t>
  </si>
  <si>
    <t>返回复数3+4i的共轭复数(3-4i)</t>
  </si>
  <si>
    <t>返回以x+yi或x+yj文本格式表示的复数的绝对值(模).</t>
  </si>
  <si>
    <t>IMABS(inumber)</t>
  </si>
  <si>
    <t>IMABS(需要计算其绝对值的复数)</t>
  </si>
  <si>
    <t>为需要计算其绝对值的复数.</t>
  </si>
  <si>
    <t>=IMABS("5+12i")</t>
  </si>
  <si>
    <t>返回复数5+12i的绝对值(13)</t>
  </si>
  <si>
    <t>IMARGUMENT(inumber)</t>
  </si>
  <si>
    <t>IMARGUMENT(用来计算角度值Theta的复数.)</t>
  </si>
  <si>
    <t>为用来计算角度值Theta的复数.</t>
  </si>
  <si>
    <t>=IMARGUMENT("3+4i")</t>
  </si>
  <si>
    <t>返回以弧度表示的角 3+4i (0.927295)</t>
  </si>
  <si>
    <t>返回以x+yi或x+yj文本格式表示的两个或多个复数的和.</t>
  </si>
  <si>
    <t>IMSUM(inumber1,inumber2,...)</t>
  </si>
  <si>
    <t>IMSUM(需要相加的复数)</t>
  </si>
  <si>
    <t>为1到29个需要相加的复数.</t>
  </si>
  <si>
    <t>=IMSUM("3+4i","5-3i")</t>
  </si>
  <si>
    <t>返回公式中两个复数3+4i与5-3i的和(8+i)</t>
  </si>
  <si>
    <t>IMSUB</t>
  </si>
  <si>
    <t>返回以x+yi或x+yj文本格式表示的两个复数的差.</t>
  </si>
  <si>
    <t>IMSUB(inumber1,inumber2)</t>
  </si>
  <si>
    <t>IMSUB(被减(复)数.,减(复)数.)</t>
  </si>
  <si>
    <t>Inumber1</t>
  </si>
  <si>
    <t>为被减(复)数.</t>
  </si>
  <si>
    <t>Inumber2</t>
  </si>
  <si>
    <t>为减(复)数.</t>
  </si>
  <si>
    <t>=IMSUB("13+4i","5+3i")</t>
  </si>
  <si>
    <t>返回公式中复数13+4i与复数5+3i的差(8+i)</t>
  </si>
  <si>
    <t>返回以x+yi或x+yj文本格式表示的2至29个复数的乘积.</t>
  </si>
  <si>
    <t>IMPRODUCT(inumber1,inumber2,...)</t>
  </si>
  <si>
    <t>IMPRODUCT(用来相乘的复数)</t>
  </si>
  <si>
    <t>为1到29个用来相乘的复数.</t>
  </si>
  <si>
    <t>=IMPRODUCT("3+4i","5-3i")</t>
  </si>
  <si>
    <t>返回复数3+4i与5-3i的乘积(27+11i)</t>
  </si>
  <si>
    <t>=IMPRODUCT("1+2i",30)</t>
  </si>
  <si>
    <t>返回复数1+2i与30的乘积(30+60i)</t>
  </si>
  <si>
    <t>返回以x+yi或x+yj文本格式表示的两个复数的商.</t>
  </si>
  <si>
    <t>IMDIV(inumber1,inumber2)</t>
  </si>
  <si>
    <t>IMDIV(被除数,除数)</t>
  </si>
  <si>
    <t>为复数分子(被除数).</t>
  </si>
  <si>
    <t>为复数分母(除数).</t>
  </si>
  <si>
    <t>=IMDIV("-238+240i","10+24i")</t>
  </si>
  <si>
    <t>返回公式中两个复数的商(5+12i)</t>
  </si>
  <si>
    <t>返回以x+yi或x+yj文本格式表示的复数的指数.</t>
  </si>
  <si>
    <t>IMEXP(inumber)</t>
  </si>
  <si>
    <t>IMEXP(需要计算其指数的复数.)</t>
  </si>
  <si>
    <t>为需要计算其指数的复数.</t>
  </si>
  <si>
    <t>=IMEXP("1+i")</t>
  </si>
  <si>
    <t>返回复数1+i的指数(1.468694+2.287355i)</t>
  </si>
  <si>
    <t>返回以x+yi或x+yj文本格式表示的复数的n次幂.</t>
  </si>
  <si>
    <t>IMPOWER(inumber,number)</t>
  </si>
  <si>
    <t>IMPOWER(需要计算其幂值的复数,需要计算的幂次)</t>
  </si>
  <si>
    <t>为需要计算其幂值的复数.</t>
  </si>
  <si>
    <t>为需要计算的幂次.</t>
  </si>
  <si>
    <t>1.如果该函数不可用,并返回错误值#NAME?,请安装并加载"分析工具库"加载宏.
2.如果inumber为非数值型,函数IMPOWER返回错误值#VALUE!.
3.Number可以为整数、分数或负数.</t>
  </si>
  <si>
    <t>=IMPOWER("2+3i",3)</t>
  </si>
  <si>
    <t>返回复数2+3i的3次幂(-46+9i)</t>
  </si>
  <si>
    <t>返回以x+yi或x+yj文本格式表示的复数的自然对数.</t>
  </si>
  <si>
    <t>IMLN(inumber)</t>
  </si>
  <si>
    <t>IMLN(需要计算其自然对数的复数)</t>
  </si>
  <si>
    <t>为需要计算其自然对数的复数.</t>
  </si>
  <si>
    <t>=IMLN("3+4i")</t>
  </si>
  <si>
    <t>返回复数3+4i的自然对数(1.609438+0.927295i)</t>
  </si>
  <si>
    <t>返回以x+yi或x+yj文本格式表示的复数的常用对数(以10为底数).</t>
  </si>
  <si>
    <t>IMLOG10(inumber)</t>
  </si>
  <si>
    <t>IMLOG10(需要计算其常用对数的复数)</t>
  </si>
  <si>
    <t>为需要计算其常用对数的复数.</t>
  </si>
  <si>
    <t>=IMLOG10("3+4i")</t>
  </si>
  <si>
    <t>返回复数3+4i的常用对数(以10为底)(0.69897+0.402719i)</t>
  </si>
  <si>
    <t>返回以x+yi或x+yj文本格式表示的复数的以2为底数的对数.</t>
  </si>
  <si>
    <t>IMLOG2(inumber)</t>
  </si>
  <si>
    <t>IMLOG2(需要计算以2为底数的对数值的复数)</t>
  </si>
  <si>
    <t>为需要计算以2为底数的对数值的复数.</t>
  </si>
  <si>
    <t>=IMLOG2("3+4i")</t>
  </si>
  <si>
    <t>返回复数3+4i以2为底的对数(2.321928+1.337804i)</t>
  </si>
  <si>
    <t>返回以x+yi或x+yj文本格式表示的复数的平方根.</t>
  </si>
  <si>
    <t>IMSQRT(inumber)</t>
  </si>
  <si>
    <t>IMSQRT(需要计算其平方根的复数)</t>
  </si>
  <si>
    <t>为需要计算其平方根的复数.</t>
  </si>
  <si>
    <t>=IMSQRT("1+i")</t>
  </si>
  <si>
    <t>返回复数1+i的平方根(1.098684+0.45509i)</t>
  </si>
  <si>
    <t>返回以x+yi或x+yj文本格式表示的复数的正弦值.</t>
  </si>
  <si>
    <t>IMSIN(inumber)</t>
  </si>
  <si>
    <t>IMSIN(需要计算其正弦的复数)</t>
  </si>
  <si>
    <t>为需要计算其正弦的复数.</t>
  </si>
  <si>
    <t>=IMSIN("3+4i")</t>
  </si>
  <si>
    <t>返回复数3+4i的正弦值(3.853738-27.016813i)</t>
  </si>
  <si>
    <t>返回以x+yi或x+yj文本格式表示的复数的余弦.</t>
  </si>
  <si>
    <t>IMCOS(inumber)</t>
  </si>
  <si>
    <t>IMCOS(需要计算其余弦值的复数)</t>
  </si>
  <si>
    <t>为需要计算其余弦值的复数.</t>
  </si>
  <si>
    <t>1.如果该函数不可用,并返回错误值#NAME?,请安装并加载"分析工具库"加载宏.
2.如果inumber为逻辑值,函数IMCOS返回错误值#VALUE!.</t>
  </si>
  <si>
    <t>=IMCOS("1+i")</t>
  </si>
  <si>
    <t>返回复数1+i的余弦值(0.83373-0.988898i)</t>
  </si>
  <si>
    <t>计算第一种贝塞尔函数Jn(x)的值</t>
  </si>
  <si>
    <t>返回Bessel函数值</t>
  </si>
  <si>
    <t>BESSELJ(x,n)</t>
  </si>
  <si>
    <t>BESSELJ(参数值,阶数)</t>
  </si>
  <si>
    <t>函数的阶数.如果n非整数,则截尾取整.</t>
  </si>
  <si>
    <t>1.如果该函数不可用,并返回错误值#NAME?,请安装并加载"分析工具库"加载宏.
2.如果x为非数值型,则BESSELJ返回错误值#VALUE!.
3.如果n为非数值型,则BESSELJ返回错误值#VALUE!.
4.如果n&lt;0,则BESSELJ返回错误值#NUM!.</t>
  </si>
  <si>
    <t>=BESSELJ(1.9,2)</t>
  </si>
  <si>
    <t>1.9的2阶修正Bessel函数值(0.329926)</t>
  </si>
  <si>
    <t>计算第二种贝塞尔函数Yn(x)的值</t>
  </si>
  <si>
    <t>返回Bessel函数值,也称为Weber函数或Neumann函数.</t>
  </si>
  <si>
    <t>BESSELY(x,n)</t>
  </si>
  <si>
    <t>BESSELY(参数值,阶数)</t>
  </si>
  <si>
    <t>函数的阶数.如果n为非整数,则截尾取整.</t>
  </si>
  <si>
    <t>1.如果该函数不可用,并返回错误值#NAME?,请安装并加载"分析工具库"加载宏.
2.如果x为非数值型,则BESSELY返回错误值#VALUE!.
3.如果n为非数值型,则BESSELY返回错误值#VALUE!.
4.如果n&lt;0,则BESSELY返回错误值#NUM!.</t>
  </si>
  <si>
    <t>=BESSELY(2.5,1)</t>
  </si>
  <si>
    <t>2.5的1阶修正Bessel函数(也称为Weber函数)值(0.145918)</t>
  </si>
  <si>
    <t>计算第一种修正贝塞尔函数In(x)的值</t>
  </si>
  <si>
    <t>返回修正Bessel函数值,它与用纯虚数参数运算时的Bessel函数值相等.</t>
  </si>
  <si>
    <t>BESSELI(x,n)</t>
  </si>
  <si>
    <t>BESSELI(参数值,阶数)</t>
  </si>
  <si>
    <t>1.如果该函数不可用,并返回错误值#NAME?,请安装并加载"分析工具库"加载宏.
2.如果X为非数值型,则BESSELI返回错误值#VALUE!.
3.如果n为非数值型,则BESSELI返回错误值#VALUE!.
4.如果n&lt;0,则BESSELI返回错误值#NUM!.</t>
  </si>
  <si>
    <t>=BESSELI(1.5,1)</t>
  </si>
  <si>
    <t>1.5的1阶修正Bessel函数值(0.981666)</t>
  </si>
  <si>
    <t>计算第二种修正贝塞尔函数Kn(x)的值</t>
  </si>
  <si>
    <t>BESSELK(x,n)</t>
  </si>
  <si>
    <t>BESSELK(参数值,阶数)</t>
  </si>
  <si>
    <t>1如果该函数不可用,并返回错误值#NAME?,请安装并加载"分析工具库"加载宏.
2.如果x为非数值型,则BESSELK返回错误值#VALUE!.
3.如果n为非数值型,则BESSELK返回错误值#VALUE!.
4.如果n&lt;0,则BESSELK返回错误值#NUM!.</t>
  </si>
  <si>
    <t>=BESSELK(1.5,1)</t>
  </si>
  <si>
    <t>1.5的1阶修正Bessel函数值(0.277388)</t>
  </si>
  <si>
    <t>返回误差函数在上下限之间的积分.</t>
  </si>
  <si>
    <t>计算误差函数的积分值.</t>
  </si>
  <si>
    <t>ERF(lower_limit,upper_limit)</t>
  </si>
  <si>
    <t>ERF(下限,上限)</t>
  </si>
  <si>
    <t>ERF函数的积分下限.</t>
  </si>
  <si>
    <t>ERF函数的积分上限.如果省略,ERF将在零到下限之间进行积分.</t>
  </si>
  <si>
    <t>1.如果该函数不可用,并返回错误值#NAME?,请安装并加载"分析工具库"加载宏.
2.如果下限是非数值型,函数ERF返回错误值#VALUE!.
3.如果下限是负值,函数ERF返回错误值#NUM!.
4.如果上限是非数值型,函数ERF返回错误值#VALUE!.</t>
  </si>
  <si>
    <t>=ERF(0.745)</t>
  </si>
  <si>
    <t>误差函数在0与0.74500之间的积分值(0.707929)</t>
  </si>
  <si>
    <t>=ERF(1)</t>
  </si>
  <si>
    <t>误差函数在0与1之间的积分值(0.842701)</t>
  </si>
  <si>
    <t>返回从x到∞(无穷)积分的ERF函数的余误差函数.</t>
  </si>
  <si>
    <t>ERFC(x)</t>
  </si>
  <si>
    <t>ERFC(积分的下限)</t>
  </si>
  <si>
    <t>ERF函数积分的下限.</t>
  </si>
  <si>
    <t>1.如果该函数不可用,并返回错误值#NAME?,请安装并加载"分析工具库"加载宏.
2.如果X是非数值型,则函数ERFC返回错误值#VALUE!.
3.如果X是负值,则函数ERFC返回错误值#NUM!.</t>
  </si>
  <si>
    <t>=ERFC(1)</t>
  </si>
  <si>
    <t>此函数返回1的ERF函数的余误差函数(0.1573)</t>
  </si>
  <si>
    <t>测试两个数值是否相等.</t>
  </si>
  <si>
    <t>DELTA(number1,number2)</t>
  </si>
  <si>
    <t>DELTA(参数1,参数2)</t>
  </si>
  <si>
    <t>为第一个参数.</t>
  </si>
  <si>
    <t>Number2</t>
  </si>
  <si>
    <t>为第二个参数.如果省略,假设Number2值为零.</t>
  </si>
  <si>
    <t>1.如果该函数不可用,并返回错误值#NAME?,请安装并加载"分析工具库"加载宏.
2.如果number1=number2,则返回1,否则返回0.可用此函数筛选一组数据,例如,通过对几个DELTA函数求和,可以计算相等数据对的数目.该函数也称为KroneckerDelta函数.
3.如果number1为非数值型,则函数DELTA将返回错误值#VALUE!.
4.如果number2为非数值型,则函数DELTA将返回错误值#VALUE!.</t>
  </si>
  <si>
    <t>=DELTA(5,4)</t>
  </si>
  <si>
    <t>检查5是否等于4(0)</t>
  </si>
  <si>
    <t>=DELTA(5,5)</t>
  </si>
  <si>
    <t>检查5是否等于5(1)</t>
  </si>
  <si>
    <t>=DELTA(0.5,0)</t>
  </si>
  <si>
    <t>检查0.5是否等于0(0)</t>
  </si>
  <si>
    <t>GESTEP(number,step)</t>
  </si>
  <si>
    <t>GESTEP(待测试的数值,阈值)</t>
  </si>
  <si>
    <t>待测试的数值.</t>
  </si>
  <si>
    <t>Step</t>
  </si>
  <si>
    <t>阈值.如果省略step,则函数GESTEP假设其为零.</t>
  </si>
  <si>
    <t>1.如果该函数不可用,并返回错误值#NAME?,请安装并加载"分析工具库"加载宏.
2.如果Number大于等于step,返回1,否则返回0.使用该函数可筛选数据.例如,通过计算多个函数GESTEP的返回值,可以检测出数据集中超过某个临界值的数据个数.
3.如果任一参数为非数值,则函数GESTEP返回错误值#VALUE!.</t>
  </si>
  <si>
    <t>=GESTEP(5,4)</t>
  </si>
  <si>
    <t>检查5是否大于等于4(1)</t>
  </si>
  <si>
    <t>=GESTEP(5,5)</t>
  </si>
  <si>
    <t>检查5是否大于等于5(1)</t>
  </si>
  <si>
    <t>=GESTEP(-4,-5)</t>
  </si>
  <si>
    <t>检查-4是否大于等于-5(1)</t>
  </si>
  <si>
    <t>=GESTEP(-1,0)</t>
  </si>
  <si>
    <t>检查-1是否大于等于0(0)</t>
  </si>
  <si>
    <t>将数字从一个度量系统转换到另一个度量系统中.例如,函数CONVERT可以将一个以"英里"为单位的距离表转换成一个以"公里"为单位的距离表.</t>
  </si>
  <si>
    <t>CONVERT(number,from_unit,to_unit)</t>
  </si>
  <si>
    <t>CONVERT(值,换算前单位,换算后单位)</t>
  </si>
  <si>
    <t>以from_units为单位的需要进行转换的数值.</t>
  </si>
  <si>
    <t>From_unit</t>
  </si>
  <si>
    <t>数值number的单位.</t>
  </si>
  <si>
    <t>To_unit</t>
  </si>
  <si>
    <t>为结果的单位.函数CONVERT接受下面的文本值(引号中)作为from_unit和to_unit.</t>
  </si>
  <si>
    <t>1.如果该函数不可用,并返回错误值#NAME?,请安装并加载"分析工具库"加载宏.
2.如果输入数据的拼写有误,函数CONVERT返回错误值#VALUE!.
3.如果单位不存在,函数CONVERT返回错误值#N/A.
4.如果单位不支持缩写的单位前缀,函数CONVERT返回错误值#N/A.
5.如果单位在不同的组中,函数CONVERT返回错误值#N/A.
6.单位名称和前缀要区分大小写.</t>
  </si>
  <si>
    <t>重量和质量</t>
  </si>
  <si>
    <t>From_unit或to_unit</t>
  </si>
  <si>
    <t>距离</t>
  </si>
  <si>
    <t>液体度量</t>
  </si>
  <si>
    <t>克</t>
  </si>
  <si>
    <t>"g"</t>
  </si>
  <si>
    <t>米</t>
  </si>
  <si>
    <t>"m"</t>
  </si>
  <si>
    <t>茶匙</t>
  </si>
  <si>
    <t>"tsp"</t>
  </si>
  <si>
    <t>斯勒格</t>
  </si>
  <si>
    <t>"sg"</t>
  </si>
  <si>
    <t>法定英里</t>
  </si>
  <si>
    <t>"mi"</t>
  </si>
  <si>
    <t>汤匙</t>
  </si>
  <si>
    <t>"tbs"</t>
  </si>
  <si>
    <t>磅(常衡制)</t>
  </si>
  <si>
    <t>"lbm"</t>
  </si>
  <si>
    <t>海里</t>
  </si>
  <si>
    <t>"Nmi"</t>
  </si>
  <si>
    <t>液量盎司</t>
  </si>
  <si>
    <t>"oz"</t>
  </si>
  <si>
    <t>U(原子质量单位)</t>
  </si>
  <si>
    <t>"u"</t>
  </si>
  <si>
    <t>英寸</t>
  </si>
  <si>
    <t>"in"</t>
  </si>
  <si>
    <t>杯</t>
  </si>
  <si>
    <t>"cup"</t>
  </si>
  <si>
    <t>盎司(常衡制)</t>
  </si>
  <si>
    <t>"ozm"</t>
  </si>
  <si>
    <t>英尺</t>
  </si>
  <si>
    <t>"ft"</t>
  </si>
  <si>
    <t>U.S.品脱</t>
  </si>
  <si>
    <t>"pt"</t>
  </si>
  <si>
    <t>码</t>
  </si>
  <si>
    <t>"yd"</t>
  </si>
  <si>
    <t>U.K.品脱</t>
  </si>
  <si>
    <t>"uk_pt"</t>
  </si>
  <si>
    <t>埃</t>
  </si>
  <si>
    <t>"ang"</t>
  </si>
  <si>
    <t>夸脱</t>
  </si>
  <si>
    <t>"qt"</t>
  </si>
  <si>
    <t>皮卡(1/72英寸)</t>
  </si>
  <si>
    <t>"Pica"</t>
  </si>
  <si>
    <t>加仑</t>
  </si>
  <si>
    <t>"gal"</t>
  </si>
  <si>
    <t>升</t>
  </si>
  <si>
    <t>"l"</t>
  </si>
  <si>
    <t>压强</t>
  </si>
  <si>
    <t>力</t>
  </si>
  <si>
    <t>磁</t>
  </si>
  <si>
    <t>帕斯卡</t>
  </si>
  <si>
    <t>"Pa"</t>
  </si>
  <si>
    <t>牛顿</t>
  </si>
  <si>
    <t>"N"</t>
  </si>
  <si>
    <t>特斯拉</t>
  </si>
  <si>
    <t>"T"</t>
  </si>
  <si>
    <t>大气压</t>
  </si>
  <si>
    <t>"atm"</t>
  </si>
  <si>
    <t>达因</t>
  </si>
  <si>
    <t>"dyn"</t>
  </si>
  <si>
    <t>高斯</t>
  </si>
  <si>
    <t>"ga"</t>
  </si>
  <si>
    <t>毫米汞柱</t>
  </si>
  <si>
    <t>"mmHg"</t>
  </si>
  <si>
    <t>磅力</t>
  </si>
  <si>
    <t>"lbf"</t>
  </si>
  <si>
    <t>乘幂</t>
  </si>
  <si>
    <t>温度</t>
  </si>
  <si>
    <t>马力</t>
  </si>
  <si>
    <t>"HP"</t>
  </si>
  <si>
    <t>"yr"</t>
  </si>
  <si>
    <t>摄氏度</t>
  </si>
  <si>
    <t>"C"</t>
  </si>
  <si>
    <t>瓦特</t>
  </si>
  <si>
    <t>"W"</t>
  </si>
  <si>
    <t>日</t>
  </si>
  <si>
    <t>"day"</t>
  </si>
  <si>
    <t>华氏度</t>
  </si>
  <si>
    <t>"F"</t>
  </si>
  <si>
    <t>小时</t>
  </si>
  <si>
    <t>"hr"</t>
  </si>
  <si>
    <t>开尔文度</t>
  </si>
  <si>
    <t>"K"</t>
  </si>
  <si>
    <t>分钟</t>
  </si>
  <si>
    <t>"mn"</t>
  </si>
  <si>
    <t>"sec"</t>
  </si>
  <si>
    <t>能量</t>
  </si>
  <si>
    <t>焦耳</t>
  </si>
  <si>
    <t>"J"</t>
  </si>
  <si>
    <t>尔格</t>
  </si>
  <si>
    <t>"e"</t>
  </si>
  <si>
    <t>热力学卡</t>
  </si>
  <si>
    <t>"c"</t>
  </si>
  <si>
    <t>IT卡</t>
  </si>
  <si>
    <t>"cal"</t>
  </si>
  <si>
    <t>电子伏</t>
  </si>
  <si>
    <t>"eV"</t>
  </si>
  <si>
    <t>马力-小时</t>
  </si>
  <si>
    <t>"HPh"</t>
  </si>
  <si>
    <t>瓦特-小时</t>
  </si>
  <si>
    <t>"Wh"</t>
  </si>
  <si>
    <t>英尺磅</t>
  </si>
  <si>
    <t>"flb"</t>
  </si>
  <si>
    <t>BTU</t>
  </si>
  <si>
    <t>"BTU"</t>
  </si>
  <si>
    <t>下列缩写的单位前缀可以加在任何的公制单位from_unit或to_unit之前.</t>
  </si>
  <si>
    <t>前缀</t>
  </si>
  <si>
    <t>乘子</t>
  </si>
  <si>
    <t>缩写</t>
  </si>
  <si>
    <t>exa</t>
  </si>
  <si>
    <t>"E"</t>
  </si>
  <si>
    <t>peta</t>
  </si>
  <si>
    <t>"P"</t>
  </si>
  <si>
    <t>tera</t>
  </si>
  <si>
    <t>giga</t>
  </si>
  <si>
    <t>"G"</t>
  </si>
  <si>
    <t>mega</t>
  </si>
  <si>
    <t>"M"</t>
  </si>
  <si>
    <t>kilo</t>
  </si>
  <si>
    <t>"k"</t>
  </si>
  <si>
    <t>hecto</t>
  </si>
  <si>
    <t>"h"</t>
  </si>
  <si>
    <t>dekao</t>
  </si>
  <si>
    <t>deci</t>
  </si>
  <si>
    <t>"d"</t>
  </si>
  <si>
    <t>centi</t>
  </si>
  <si>
    <t>milli</t>
  </si>
  <si>
    <t>micro</t>
  </si>
  <si>
    <t>nano</t>
  </si>
  <si>
    <t>"n"</t>
  </si>
  <si>
    <t>pico</t>
  </si>
  <si>
    <t>"p"</t>
  </si>
  <si>
    <t>femto</t>
  </si>
  <si>
    <t>"f"</t>
  </si>
  <si>
    <t>atto</t>
  </si>
  <si>
    <t>"a"</t>
  </si>
  <si>
    <t>=CONVERT(1,"lbm","kg")</t>
  </si>
  <si>
    <t>将1磅转换为千克(0.453592)</t>
  </si>
  <si>
    <t>=CONVERT(68,"F","C")</t>
  </si>
  <si>
    <t>将68华氏度转换为摄氏度(20)</t>
  </si>
  <si>
    <t>=CONVERT(2.5,"ft","sec")</t>
  </si>
  <si>
    <t>由于数据类型不同,因此返回错误值(#N/A)</t>
  </si>
  <si>
    <t>=CONVERT(CONVERT(100,"ft","m"),"ft","m")</t>
  </si>
  <si>
    <t>将100平方英尺转换为平方米(9.290304).</t>
  </si>
  <si>
    <t>查看是否值为空白单元格</t>
  </si>
  <si>
    <t>查看单元格是否为空白</t>
  </si>
  <si>
    <t>ISBLANK(value)</t>
  </si>
  <si>
    <t>ISBLANK(需要进行检验的数值)</t>
  </si>
  <si>
    <t>为需要进行检验的数值.</t>
  </si>
  <si>
    <t>1.IS类函数的参数value是不可转换的.
2.IS类函数在用公式检验计算结果时十分有用.当它与函数IF结合在一起使用时,可以提供一种方法用来在公式中查出错误值.</t>
  </si>
  <si>
    <t>本页函数开头都带有"IS",所以被称为"IS"函数.IS函数主要用于IF函数的条件判断.</t>
  </si>
  <si>
    <t>=ISBLANK(C18)</t>
  </si>
  <si>
    <t>="" 代表空的公式</t>
  </si>
  <si>
    <t>真</t>
  </si>
  <si>
    <t>假</t>
  </si>
  <si>
    <t>文本空格</t>
  </si>
  <si>
    <t xml:space="preserve"> </t>
  </si>
  <si>
    <t>值为错误的公式</t>
  </si>
  <si>
    <t>查看是否值为任意错误值(#N/A、#VALUE!、#REF!、#DIV/0!、#NUM!、#NAME?或#NULL!).</t>
  </si>
  <si>
    <t>ISERROR(value)</t>
  </si>
  <si>
    <t>ISERROR(需要进行检验的数值)</t>
  </si>
  <si>
    <t>=ISERROR(C117)</t>
  </si>
  <si>
    <t>查看是否值为任意错误值(除去#N/A).</t>
  </si>
  <si>
    <t>ISERR(value)</t>
  </si>
  <si>
    <t>ISERR(需要进行检验的数值)</t>
  </si>
  <si>
    <t>=ISERR(C217)</t>
  </si>
  <si>
    <t>查看是否值为错误值#N/A(值不存在).</t>
  </si>
  <si>
    <t>ISNA(value)</t>
  </si>
  <si>
    <t>ISNA(需要进行检验的数值)</t>
  </si>
  <si>
    <t>=ISNA(C317)</t>
  </si>
  <si>
    <t>ISEVEN(value)</t>
  </si>
  <si>
    <t>ISEVEN(需要进行检验的数值)</t>
  </si>
  <si>
    <t>1.IS类函数的参数value是不可转换的.
2.IS类函数在用公式检验计算结果时十分有用.当它与函数IF结合在一起使用时,可以提供一种方法用来在公式中查出错误值.
3.如果该函数不可用,并返回错误值#NAME?,请安装并加载"分析工具库"加载宏.</t>
  </si>
  <si>
    <t>=ISEVEN(C417)</t>
  </si>
  <si>
    <t>ISODD(value)</t>
  </si>
  <si>
    <t>ISODD(需要进行检验的数值)</t>
  </si>
  <si>
    <t>=ISODD(C517)</t>
  </si>
  <si>
    <t>查看是否值为逻辑值</t>
  </si>
  <si>
    <t>ISLOGICAL(value)</t>
  </si>
  <si>
    <t>ISLOGICAL(需要进行检验的数值)</t>
  </si>
  <si>
    <t>=ISLOGICAL(C617)</t>
  </si>
  <si>
    <t>ISTEXT(value)</t>
  </si>
  <si>
    <t>ISTEXT(需要进行检验的数值)</t>
  </si>
  <si>
    <t>=ISTEXT(C717)</t>
  </si>
  <si>
    <t>查看值为不是文本的任意项(注意此函数在值为空白单元格时返回TRUE).</t>
  </si>
  <si>
    <t>ISNONTEXT(value)</t>
  </si>
  <si>
    <t>ISNONTEXT(需要进行检验的数值)</t>
  </si>
  <si>
    <t>=ISNONTEXT(C817)</t>
  </si>
  <si>
    <t>ISNUMBER(value)</t>
  </si>
  <si>
    <t>ISNUMBER(需要进行检验的数值)</t>
  </si>
  <si>
    <t>=ISNUMBER(C917)</t>
  </si>
  <si>
    <t>ISREF(value)</t>
  </si>
  <si>
    <t>ISREF(需要进行检验的数值)</t>
  </si>
  <si>
    <t>=ISREF(C1017)</t>
  </si>
  <si>
    <t>返回错误值#N/A.错误值#N/A表示"无法得到有效值".请使用NA标志空白单元格.在没有内容的单元格中输入#N/A,可以避免不小心将空白单元格计算在内而产生的问题(当公式引用到含有#N/A的单元格时,会返回错误值#N/A).</t>
  </si>
  <si>
    <t>NA()</t>
  </si>
  <si>
    <t>在函数名后面必须包括圆括号,否则,MicrosoftExcel无法识别该函数.也可直接在单元格中键入#N/A.提供NA函数是为了与其他电子表格程序兼容.</t>
  </si>
  <si>
    <t>=NA()</t>
  </si>
  <si>
    <t>返回数值的类型.当某一个函数的计算结果取决于特定单元格中数值的类型时,可使用函数TYPE.</t>
  </si>
  <si>
    <t>TYPE(value)</t>
  </si>
  <si>
    <t>TYPE(要查看的单元格)</t>
  </si>
  <si>
    <t>可以为任意MicrosoftExcel数值,如数字、文本以及逻辑值等等.</t>
  </si>
  <si>
    <t>当使用能接受不同类型数据的函数(例如函数ARGUMENT和函数INPUT)时,函数TYPE十分有用.可以使用函数TYPE来查找函数或公式所返回的数据是何种类型.</t>
  </si>
  <si>
    <t>可以使用TYPE来确定单元格中是否含有公式.TYPE仅确定结果、显示或值的类型.如果某个值是一个单元格引用,它所引用的另一个单元格中含有公式,则TYPE将返回此公式结果值的类型.</t>
  </si>
  <si>
    <t>如果value为</t>
  </si>
  <si>
    <t>函数TYPE返回</t>
  </si>
  <si>
    <t>误差值</t>
  </si>
  <si>
    <t>数组</t>
  </si>
  <si>
    <t>判断结果参考上表</t>
  </si>
  <si>
    <t>=TYPE(C125)</t>
  </si>
  <si>
    <t>返回对应于MicrosoftExcel中某一错误值的数字,或者,如果没有错误则返回#N/A.在函数IF中可以使用ERROR.TYPE检测错误值,并返回文本字符串(如,消息)来取代错误值.</t>
  </si>
  <si>
    <t>ERROR.TYPE(error_val)</t>
  </si>
  <si>
    <t>ERROR.TYPE(单元格引用)</t>
  </si>
  <si>
    <t>Error_val</t>
  </si>
  <si>
    <t>为需要得到其标号的一个错误值.尽管error_val可以为实际的错误值,但它通常为一个单元格引用,而此单元格中包含需要检测的公式.</t>
  </si>
  <si>
    <t>如果error_val为</t>
  </si>
  <si>
    <t>函数ERROR.TYPE返回</t>
  </si>
  <si>
    <t>其他值</t>
  </si>
  <si>
    <t>=ERROR.TYPE(C228)</t>
  </si>
  <si>
    <t>返回某一引用区域的左上角单元格的格式、位置或内容等信息.</t>
  </si>
  <si>
    <t>CELL(info_type,reference)</t>
  </si>
  <si>
    <t>CELL(文本值,获取其有关信息的单元格)</t>
  </si>
  <si>
    <t>Info_type</t>
  </si>
  <si>
    <t>为一个文本值,指定所需要的单元格信息的类型.下面列出info_type的可能值及相应的结果.</t>
  </si>
  <si>
    <t>表示要获取其有关信息的单元格.如果忽略,则在info_type中所指定的信息将返回给最后更改的单元格.下表描述info_type为"format",以及引用为用内置数字格式设置的单元格时,函数CELL返回的文本值.</t>
  </si>
  <si>
    <t>如果CELL公式中的info_type参数为"format",而且以后又用自定义格式设置了单元格,则必须重新计算工作表以更新CELL公式.</t>
  </si>
  <si>
    <t>返回</t>
  </si>
  <si>
    <t>"address"</t>
  </si>
  <si>
    <t>引用中第一个单元格的引用,文本类型.</t>
  </si>
  <si>
    <t>"col"</t>
  </si>
  <si>
    <t>引用中单元格的列标.</t>
  </si>
  <si>
    <t>"color"</t>
  </si>
  <si>
    <t>如果单元格中的负值以不同颜色显示,则为1,否则返回0.</t>
  </si>
  <si>
    <t>"contents"</t>
  </si>
  <si>
    <t>引用中左上角单元格的值：不是公式.</t>
  </si>
  <si>
    <t>"filename"</t>
  </si>
  <si>
    <t>包含引用的文件名(包括全部路径),文本类型.如果包含目标引用的工作表尚未保存,则返回空文本("").</t>
  </si>
  <si>
    <t>"format"</t>
  </si>
  <si>
    <t>与单元格中不同的数字格式相对应的文本值.下表列出不同格式的文本值.如果单元格中负值以不同颜色显示,则在返回的文本值的结尾处加"-"；如果单元格中为正值或所有单元格均加括号,则在文本值的结尾处返回"()".</t>
  </si>
  <si>
    <t>"parentheses"</t>
  </si>
  <si>
    <t>如果单元格中为正值或全部单元格均加括号,则为1,否则返回0.</t>
  </si>
  <si>
    <t>"prefix"</t>
  </si>
  <si>
    <t>与单元格中不同的"标志前缀"相对应的文本值.如果单元格文本左对齐,则返回单引号(')；如果单元格文本右对齐,则返回双引号(")；如果单元格文本居中,则返回插入字符(^)；如果单元格文本两端对齐,则返回反斜线(\)；如果是其他情况,则返回空文本("").</t>
  </si>
  <si>
    <t>"protect"</t>
  </si>
  <si>
    <t>如果单元格没有锁定,则为0；如果单元格锁定,则为1.</t>
  </si>
  <si>
    <t>"row"</t>
  </si>
  <si>
    <t>引用中单元格的行号.</t>
  </si>
  <si>
    <t>"type"</t>
  </si>
  <si>
    <t>与单元格中的数据类型相对应的文本值.如果单元格为空,则返回"b".如果单元格包含文本常量,则返回"l"；如果单元格包含其他内容,则返回"v".</t>
  </si>
  <si>
    <t>"width"</t>
  </si>
  <si>
    <t>取整后的单元格的列宽.列宽以默认字号的一个字符的宽度为单位.</t>
  </si>
  <si>
    <t>如果MicrosoftExcel的格式为</t>
  </si>
  <si>
    <t>CELL返回值</t>
  </si>
  <si>
    <t>常规</t>
  </si>
  <si>
    <t>"F0"</t>
  </si>
  <si>
    <t>#,##0</t>
  </si>
  <si>
    <t>",0"</t>
  </si>
  <si>
    <t>"F2"</t>
  </si>
  <si>
    <t>#,##0.00</t>
  </si>
  <si>
    <t>",2"</t>
  </si>
  <si>
    <t>$#,##0_);($#,##0)</t>
  </si>
  <si>
    <t>"C0"</t>
  </si>
  <si>
    <t>$#,##0_);[Red]($#,##0)</t>
  </si>
  <si>
    <t>"C0-"</t>
  </si>
  <si>
    <t>$#,##0.00_);($#,##0.00)</t>
  </si>
  <si>
    <t>"C2"</t>
  </si>
  <si>
    <t>$#,##0.00_);[Red]($#,##0.00)</t>
  </si>
  <si>
    <t>"C2-"</t>
  </si>
  <si>
    <t>"P0"</t>
  </si>
  <si>
    <t>"P2"</t>
  </si>
  <si>
    <t>"S2"</t>
  </si>
  <si>
    <t>#?/?或#??/??</t>
  </si>
  <si>
    <t>yy-m-d或yy-m-dh:mm或dd-mm-yy</t>
  </si>
  <si>
    <t>"D4"</t>
  </si>
  <si>
    <t>d-mmm-yy或dd-mmm-yy</t>
  </si>
  <si>
    <t>"D1"</t>
  </si>
  <si>
    <t>d-mmm或dd-mmm</t>
  </si>
  <si>
    <t>"D2"</t>
  </si>
  <si>
    <t>mmm-yy</t>
  </si>
  <si>
    <t>"D3"</t>
  </si>
  <si>
    <t>dd-mm</t>
  </si>
  <si>
    <t>"D5"</t>
  </si>
  <si>
    <t>h:mmAM/PM</t>
  </si>
  <si>
    <t>"D7"</t>
  </si>
  <si>
    <t>h:mm:ssAM/PM</t>
  </si>
  <si>
    <t>"D6"</t>
  </si>
  <si>
    <t>h:mm</t>
  </si>
  <si>
    <t>"D9"</t>
  </si>
  <si>
    <t>h:mm:ss</t>
  </si>
  <si>
    <t>"D8"</t>
  </si>
  <si>
    <t>=CELL("prefix",B57)</t>
  </si>
  <si>
    <t>从25行的说明中可以了解到文本的对齐格式</t>
  </si>
  <si>
    <t>返回转化为数值后的值.</t>
  </si>
  <si>
    <t>N(value)</t>
  </si>
  <si>
    <t>N(要转化的值)  N(要转化的单元格)</t>
  </si>
  <si>
    <t>为要转化的值</t>
  </si>
  <si>
    <t>一般情况下不必在公式中使用函数N,因为Excel将根据需要自动对值进行转换.提供此函数是为了与其他电子表格程序兼容.MicrosoftExcel可将日期存储为可用于计算的序列号.默认情况下,1900年1月1日的序列号是1,而2008年1月1日的序列号是39448,这是因为它距1900年1月1日有39448天.ExcelfortheMacintosh使用另外一个默认日期系统.</t>
  </si>
  <si>
    <t>函数N可以转化下表列出的值：</t>
  </si>
  <si>
    <t>数值或引用</t>
  </si>
  <si>
    <t>N返回值</t>
  </si>
  <si>
    <t>该数字</t>
  </si>
  <si>
    <t>日期(MicrosoftExcel的一种内部日期格式)</t>
  </si>
  <si>
    <t>该日期的序列号</t>
  </si>
  <si>
    <t>错误值,例如#DIV/0!</t>
  </si>
  <si>
    <t>=N(B29)</t>
  </si>
  <si>
    <t>因为A2包含的是数字,所以返回该数字(7)</t>
  </si>
  <si>
    <t>Even</t>
  </si>
  <si>
    <t>因为A3包含的是文本,所以返回0(请参见上面的信息)</t>
  </si>
  <si>
    <t>因为A4是逻辑值TRUE,所以返回1(请参见上面的信息)</t>
  </si>
  <si>
    <t>因为A5是日期,所以返回该日期的序列号(根据使用的日期系统会有变化)</t>
  </si>
  <si>
    <t>因为"7"是文本,所以返回0(请参见上面的信息)</t>
  </si>
  <si>
    <t>返回有关当前操作环境的信息.</t>
  </si>
  <si>
    <t>INFO(type_text)</t>
  </si>
  <si>
    <t>INFO(指明所要返回的信息类型)</t>
  </si>
  <si>
    <t>Type_text</t>
  </si>
  <si>
    <t>为文本,指明所要返回的信息类型.</t>
  </si>
  <si>
    <t>安全性  使用此功能时要格外小心.其他用户可能看到敏感信息或机密信息.</t>
  </si>
  <si>
    <t>"directory"</t>
  </si>
  <si>
    <t>当前目录或文件夹的路径.</t>
  </si>
  <si>
    <t>"memavail"</t>
  </si>
  <si>
    <t>可用的内存空间,以字节为单位.</t>
  </si>
  <si>
    <t>"memused"</t>
  </si>
  <si>
    <t>数据占用的内存空间.</t>
  </si>
  <si>
    <t>"numfile"</t>
  </si>
  <si>
    <t>打开的工作簿中活动工作表的数目.</t>
  </si>
  <si>
    <t>"origin"</t>
  </si>
  <si>
    <t>A1-样式的绝对引用,文本形式,加上前缀"$A:",与Lotus1-2-3的3.x版兼容.以当前滚动位置为基准,返回窗口中可见的最右上角的单元格.</t>
  </si>
  <si>
    <t>"osversion"</t>
  </si>
  <si>
    <t>当前操作系统的版本号,文本值.</t>
  </si>
  <si>
    <t>"recalc"</t>
  </si>
  <si>
    <t>当前的重新计算方式,返回"自动"或"手动".</t>
  </si>
  <si>
    <t>"release"</t>
  </si>
  <si>
    <t>MicrosoftExcel的版本号,文本值.</t>
  </si>
  <si>
    <t>"system"</t>
  </si>
  <si>
    <t>操作系统名称：</t>
  </si>
  <si>
    <t>Macintosh="mac"</t>
  </si>
  <si>
    <t>Windows="pcdos"</t>
  </si>
  <si>
    <t>"totmem"</t>
  </si>
  <si>
    <t>全部内存空间,包括已经占用的内存空间,以字节为单位.</t>
  </si>
  <si>
    <t>=INFO("numfile")</t>
  </si>
  <si>
    <t>活动工作表数目(可变)；说明我们的函数宝典一共由几个工作表组成.</t>
  </si>
  <si>
    <t>=INFO("recalc")</t>
  </si>
  <si>
    <t>工作簿的重新计算方式("自动"或"手动")</t>
  </si>
  <si>
    <t>返回存储在数据透视表中的数据.如果报表中的汇总数据可见,则可以使用函数GETPIVOTDATA从数据透视表中检索汇总数据.</t>
  </si>
  <si>
    <t>GETPIVOTDATA(data_field,pivot_table,field1,item1,field2,item2,...)</t>
  </si>
  <si>
    <t>GETPIVOTDATA(名称,区域的引用,源名称,item...)</t>
  </si>
  <si>
    <t>Data_field</t>
  </si>
  <si>
    <t>为包含要检索的数据的数据字段的名称,用引号引起.</t>
  </si>
  <si>
    <t>Pivot_table</t>
  </si>
  <si>
    <t>在数据透视表中对任何单元格、单元格区域或定义的单元格区域的引用.该信息用于决定哪个数据数据透视表包含要检索的数据.</t>
  </si>
  <si>
    <t>Field1,Item1,Field2,Item2</t>
  </si>
  <si>
    <t>为1到14对用于描述检索数据的字段名和项名称,可以任何次序排列.字段名和项名称(而不是日期和数字)用引号引起来.对于OLAP数据透视表,项可以包含维的源名称,以及项的源名称.</t>
  </si>
  <si>
    <t>注释  通过以下方法可以快速地输入简单的GETPIVOTDATA公式：在返回值所在的单元格中,键入"=",然后在数据透视表中单击包含要返回的数据的单元格.</t>
  </si>
  <si>
    <t>1.在函数GETPIVOTDATA的计算中可以包含计算字段、计算项及自定义计算方法.
2.如果pivot_table为包含两个或更多个数据透视表的区域,则将从区域中最新创建的报表中检索数据.
3.如果字段和项的参数描述的是单个单元格,则返回此单元格的数值,无论是文本串、数字、错误值或其他的值.
4.如果某个项包含日期,则值必须表示为序列号或使用DATE函数,这样如果在其他位置打开电子表格,该值仍然存在.例如,某个项引用了日期"1999年3月5日",则应输入36224或DATE(1999,3,5).时间可以输入为小数值或使用TIME函数来输入.
5.如果pivot_table并不代表找到了数据透视表的区域,则函数GETPIVOTDATA将返回错误值#REF!.
6.如果参数未描述可见字段,或者参数包含未显示的页字段,则GETPIVOTDATA函数将返回#REF!.</t>
  </si>
  <si>
    <t>金额</t>
  </si>
  <si>
    <t>状态</t>
  </si>
  <si>
    <t>李连霞</t>
  </si>
  <si>
    <t>退</t>
  </si>
  <si>
    <t>成功</t>
  </si>
  <si>
    <t>李夕欣</t>
  </si>
  <si>
    <t>李艳丽</t>
  </si>
  <si>
    <t>求和项:金额</t>
  </si>
  <si>
    <t>返回数据库或列表的列中满足指定条件并且包含数字的单元格个数.</t>
  </si>
  <si>
    <t>DCOUNT(database,field,criteria)</t>
  </si>
  <si>
    <t>DCOUNT(单元格区域,数据列,给定条件的单元格区域)</t>
  </si>
  <si>
    <t>Database</t>
  </si>
  <si>
    <t>构成列表或数据库的单元格区域.数据库是包含一组相关数据的列表,其中包含相关信息的行为记录,而包含数据的列为字段.列表的第一行包含着每一列的标志项.</t>
  </si>
  <si>
    <t>Field</t>
  </si>
  <si>
    <t>指定函数所使用的数据列.列表中的数据列必须在第一行具有标志项.Field可以是文本,即两端带引号的标志项,如"使用年数"或"产量"；此外,Field也可以是代表列表中数据列位置的数字：1表示第一列,2表示第二列,等等.</t>
  </si>
  <si>
    <t>Criteria</t>
  </si>
  <si>
    <t>为一组包含给定条件的单元格区域.可以为参数criteria指定任意区域,只要它至少包含一个列标志和列标志下方用于设定条件的单元格.</t>
  </si>
  <si>
    <t>参数field为可选项,如果省略,函数DCOUNT返回数据库中满足条件criteria的所有记录数.</t>
  </si>
  <si>
    <t>每男每女生活馆 办公费用</t>
  </si>
  <si>
    <t>摘要</t>
  </si>
  <si>
    <t>办公耗材</t>
  </si>
  <si>
    <t>A4打印纸</t>
  </si>
  <si>
    <t>笔</t>
  </si>
  <si>
    <t>差旅费</t>
  </si>
  <si>
    <t>浙江出差</t>
  </si>
  <si>
    <t>指定项目有效支出</t>
  </si>
  <si>
    <t>维修费</t>
  </si>
  <si>
    <t>维修打印机</t>
  </si>
  <si>
    <t>=DCOUNT(B18:E24,E18,G18:G19)</t>
  </si>
  <si>
    <t>福利费</t>
  </si>
  <si>
    <t>中秋节礼品</t>
  </si>
  <si>
    <t>笔记本</t>
  </si>
  <si>
    <t>不详</t>
  </si>
  <si>
    <t>返回数据库或列表的列中满足指定条件的非空单元格个数.</t>
  </si>
  <si>
    <t>DCOUNTA(database,field,criteria)</t>
  </si>
  <si>
    <t>DCOUNTA(单元格区域,数据列,给定条件的单元格区域)</t>
  </si>
  <si>
    <t>参数Field为可选项.如果省略,则函数DCOUNTA将返回数据库中满足条件的所有记录数.</t>
  </si>
  <si>
    <t>身高</t>
  </si>
  <si>
    <t>体重</t>
  </si>
  <si>
    <t>刘二</t>
  </si>
  <si>
    <t>&gt;=18</t>
  </si>
  <si>
    <t>&gt;165</t>
  </si>
  <si>
    <t>赵六</t>
  </si>
  <si>
    <t>=DCOUNTA(B116:E121,E116,G117:H118)</t>
  </si>
  <si>
    <t>返回列表或数据库的列中满足指定条件的最大数值.</t>
  </si>
  <si>
    <t>DMAX(database,field,criteria)</t>
  </si>
  <si>
    <t>DMAX(单元格区域,数据列,给定条件的单元格区域)</t>
  </si>
  <si>
    <t>未知</t>
  </si>
  <si>
    <t>=DMAX(B18:E23,E18,G19:H20)</t>
  </si>
  <si>
    <t>返回列表或数据库的列中满足指定条件的最小数字.</t>
  </si>
  <si>
    <t>DMIN(database,field,criteria)</t>
  </si>
  <si>
    <t>DMIN(单元格区域,数据列,给定条件的单元格区域)</t>
  </si>
  <si>
    <t>=DMIN(B116:E121,E116,G117:H118)</t>
  </si>
  <si>
    <t>返回列表或数据库的列中满足指定条件的数字之和.</t>
  </si>
  <si>
    <t>DSUM(database,field,criteria)</t>
  </si>
  <si>
    <t>DSUM(单元格区域,数据列,给定条件的单元格区域)</t>
  </si>
  <si>
    <t>=DSUM(B17:E22,E17,G18:H19)</t>
  </si>
  <si>
    <t>返回列表或数据库中满足指定条件的列中数值的平均值.</t>
  </si>
  <si>
    <t>DAVERAGE(database,field,criteria)</t>
  </si>
  <si>
    <t>DAVERAGE(单元格区域,数据列,给定条件的单元格区域)</t>
  </si>
  <si>
    <t>=DAVERAGE(B117:E122,E117,G118:H119)</t>
  </si>
  <si>
    <t>返回列表或数据库的列中满足指定条件的数值的乘积.</t>
  </si>
  <si>
    <t>DPRODUCT(database,field,criteria)</t>
  </si>
  <si>
    <t>DPRODUCT(单元格区域,数据列,给定条件的单元格区域)</t>
  </si>
  <si>
    <t>价格</t>
  </si>
  <si>
    <t>商品税</t>
  </si>
  <si>
    <t>钢笔</t>
  </si>
  <si>
    <t>圆珠笔</t>
  </si>
  <si>
    <t>&lt;=200</t>
  </si>
  <si>
    <t>&lt;0.3</t>
  </si>
  <si>
    <t>铅笔</t>
  </si>
  <si>
    <t>橡皮</t>
  </si>
  <si>
    <t>=DPRODUCT(B216:E221,E216,G217:I218)</t>
  </si>
  <si>
    <t>从列表或数据库的列中提取符合指定条件的单个值.</t>
  </si>
  <si>
    <t>DGET(database,field,criteria)</t>
  </si>
  <si>
    <t>DGET(单元格区域,数据列,给定条件的单元格区域)</t>
  </si>
  <si>
    <t>1.如果没有满足条件的记录,则函数DGET将返回错误值#VALUE!.
2.如果有多个记录满足条件,则函数DGET将返回错误值#NUM!.</t>
  </si>
  <si>
    <t>&lt;=20</t>
  </si>
  <si>
    <t>&lt;165</t>
  </si>
  <si>
    <t>=DGET(B18:E23,B18,G19:H20)</t>
  </si>
  <si>
    <t>将列表或数据库的列中满足指定条件的数字作为一个样本,估算样本总体的方差.</t>
  </si>
  <si>
    <t>DVAR(database,field,criteria)</t>
  </si>
  <si>
    <t>DVAR(单元格区域,数据列,给定条件的单元格区域)</t>
  </si>
  <si>
    <t>血型</t>
  </si>
  <si>
    <t>O</t>
  </si>
  <si>
    <t>=DVAR(B17:D22,D17,G18:G19)</t>
  </si>
  <si>
    <t>将列表或数据库的列中满足指定条件的数字作为样本总体,计算总体的方差.</t>
  </si>
  <si>
    <t>DVARP(database,field,criteria)</t>
  </si>
  <si>
    <t>DVARP(单元格区域,数据列,给定条件的单元格区域)</t>
  </si>
  <si>
    <t>=DVARP(B116:D121,D116,G117:G118)</t>
  </si>
  <si>
    <t>将列表或数据库的列中满足指定条件的数字作为一个样本,估算样本总体的标准偏差.</t>
  </si>
  <si>
    <t>DSTDEV(database,field,criteria)</t>
  </si>
  <si>
    <t>DSTDEV(单元格区域,数据列,给定条件的单元格区域)</t>
  </si>
  <si>
    <t>=DSTDEV(B17:D22,D17,G18:G19)</t>
  </si>
  <si>
    <t>将列表或数据库的列中满足指定条件的数字作为样本总体,计算总体的标准偏差.</t>
  </si>
  <si>
    <t>DSTDEVP(database,field,criteria)</t>
  </si>
  <si>
    <t>(单元格区域,数据列,给定条件的单元格区域)</t>
  </si>
  <si>
    <t>=DSTDEVP(B116:D121,D116,G117:G118)</t>
  </si>
  <si>
    <t>将数字转换为欧元形式,将数字由欧元形式转换为欧盟成员国货币形式,或利用欧元作为中间货币将数字由某一欧盟成员国货币转化为另一欧盟成员国货币的形式（三角转换关系）.只有采用了欧元的欧盟(EU)成员国货币才能进行这些转换.此函数所使用的是由欧盟(EU)建立的固定转换汇率.</t>
  </si>
  <si>
    <t>EUROCONVERT(number,source,target,full_precision,triangulation_precision)</t>
  </si>
  <si>
    <t>EUROCONVERT(数值,换算前货币,换算后货币,最大精度,欧元化精度)</t>
  </si>
  <si>
    <t>为要转换的货币值,或对包含该值的单元格的引用.</t>
  </si>
  <si>
    <t>Source</t>
  </si>
  <si>
    <t>是由三个字母组成的字符串,或对包含字符串的单元格的引用,该字符串对应于源货币的ISO代码.</t>
  </si>
  <si>
    <t>Target</t>
  </si>
  <si>
    <t>是由三个字母组成的字符串,或对包含字符串的单元格的引用,该字符串对应于要将数字转换成的货币所对应的ISO代码.</t>
  </si>
  <si>
    <t>Full_precision</t>
  </si>
  <si>
    <t>是一个逻辑值（TRUE或FALSE）,或计算结果为TRUE或FALSE的表达式,它用于指定结果的显示方式.</t>
  </si>
  <si>
    <t>Triangulation_precision</t>
  </si>
  <si>
    <t>是一个等于或大于3的整数,用于指定在转换两个欧盟成员国之间货币时所使用的中间欧元数值的有效位数.如果省略此参数,则Excel不会对中间欧元数值进行舍入.如果在将欧盟成员国货币转换为欧元时使用了此参数,则Excel将会计算中间结果的欧元值,然后再将此中间结果的欧元值转换为某个欧盟成员国货币.</t>
  </si>
  <si>
    <t>1.本主题中的部分内容可能不适用于某些语言.
2.Excel会截去返回值尾部的所有零.
3.如果源ISO代码与目标ISO代码相同,则Excel将返回该数字的初始值.
4.无效参数将返回错误值#VALUE.
5.此函数不应用数字格式.
6.此函数无法用于数组公式.</t>
  </si>
  <si>
    <t>EUROCONVERT函数中可以使用下列货币代码：</t>
  </si>
  <si>
    <t>国家/地区</t>
  </si>
  <si>
    <t>基本货币单位</t>
  </si>
  <si>
    <t>ISO代码</t>
  </si>
  <si>
    <t>比利时</t>
  </si>
  <si>
    <t>法郎</t>
  </si>
  <si>
    <t>BEF</t>
  </si>
  <si>
    <t>卢森堡</t>
  </si>
  <si>
    <t>LUF</t>
  </si>
  <si>
    <t>德国</t>
  </si>
  <si>
    <t>德国马克</t>
  </si>
  <si>
    <t>DEM</t>
  </si>
  <si>
    <t>西班牙</t>
  </si>
  <si>
    <t>西班牙比塞塔</t>
  </si>
  <si>
    <t>ESP</t>
  </si>
  <si>
    <t>法国</t>
  </si>
  <si>
    <t>FRF</t>
  </si>
  <si>
    <t>爱尔兰</t>
  </si>
  <si>
    <t>爱尔兰磅</t>
  </si>
  <si>
    <t>IEP</t>
  </si>
  <si>
    <t>意大利</t>
  </si>
  <si>
    <t>里拉</t>
  </si>
  <si>
    <t>ITL</t>
  </si>
  <si>
    <t>荷兰</t>
  </si>
  <si>
    <t>荷兰盾</t>
  </si>
  <si>
    <t>NLG</t>
  </si>
  <si>
    <t>奥地利</t>
  </si>
  <si>
    <t>奥地利先令</t>
  </si>
  <si>
    <t>ATS</t>
  </si>
  <si>
    <t>葡萄牙</t>
  </si>
  <si>
    <t>埃斯库多</t>
  </si>
  <si>
    <t>PTE</t>
  </si>
  <si>
    <t>芬兰</t>
  </si>
  <si>
    <t>芬兰马克</t>
  </si>
  <si>
    <t>FIM</t>
  </si>
  <si>
    <t>希腊</t>
  </si>
  <si>
    <t>德拉克马</t>
  </si>
  <si>
    <t>GRD</t>
  </si>
  <si>
    <t>欧盟成员国</t>
  </si>
  <si>
    <t>欧元</t>
  </si>
  <si>
    <t>EUR</t>
  </si>
  <si>
    <t>计算精度</t>
  </si>
  <si>
    <t>显示精度</t>
  </si>
  <si>
    <t>这些示例假设转换汇率为1欧元=6.55957法国法郎以及1欧元=1.95583德国马克.EUROCONVERT函数使用欧盟建立的当前汇率.如果汇率发生了变化,Microsoft将更新此函数.若要详细了解有关当前转换规则和汇率的信息,请参阅欧洲委员会发布的有关欧元的出版物.</t>
  </si>
  <si>
    <t>这些示例显示存储在单元格中的结果值,而不是设置了格式的值.</t>
  </si>
  <si>
    <t>EUROCONVERT(1.20,"DEM","EUR")等于0.61欧元.因为并未指定full_precision和triangulation_precision,所以结果中将使用有两位小数的欧元计算精度.</t>
  </si>
  <si>
    <t>EUROCONVERT(1,"FRF","EUR",TRUE,3)等于0.152欧元.在转换成欧元时,如果full_precision为TRUE,则结果的精度由triangulation_precision指定.</t>
  </si>
  <si>
    <t>EUROCONVERT(1,"FRF","EUR",FALSE,3)等于0.15欧元.在转换为欧元时,如果full_precision为FALSE,则结果将使用有两位小数的欧元计算精度.</t>
  </si>
  <si>
    <t>EUROCONVERT(1,"FRF","DEM",TRUE,3)等于0.29728616DM.因为triangulation_precision为3,所以作为中间结果的欧元值舍入为三位.因为full_precision为TRUE,所以计算结果中的德国马克值保留了所有的有效数字.</t>
  </si>
  <si>
    <t>EUROCONVERT(1,"FRF","DEM",FALSE,3)等于0.30DM.因为triangulation_precision为3,所以作为中间结果的欧元值舍入为三位.因为full_precision为FALSE,所以计算结果中的德国马克值按有两位小数的德国马克计算精度进行舍入.</t>
  </si>
  <si>
    <t>与外部数据源连接,从工作表运行查询,然后SQL.REQUEST将查询结果以数组的形式返回,而无需进行宏编程.</t>
  </si>
  <si>
    <t>SQL.REQUEST(connection_string,output_ref,driver_prompt,query_text,col_names_logical)</t>
  </si>
  <si>
    <t>SQL.REQUEST(连接代码,连接代码输出方,对话显示,SQL查询,列名显示)</t>
  </si>
  <si>
    <t>Connection_string</t>
  </si>
  <si>
    <t>提供信息,如数据源名称、用户ID和密码等.这些信息对于连接数据源的驱动程序是必需的,同时它们必须满足驱动程序的格式要求.</t>
  </si>
  <si>
    <t>Output_ref</t>
  </si>
  <si>
    <t>对用于存放完整的连接字符串的单元格的引用.如果在工作表中输入SQL.REQUEST函数,则可以忽略output_ref.</t>
  </si>
  <si>
    <t>Driver_prompt</t>
  </si>
  <si>
    <t>指定驱动程序对话框何时显示以及何种选项可用.该参数使用下表中所描述的数字之一.如果省略driver_prompt,SQL.REQUEST函数使用2作为默认值.</t>
  </si>
  <si>
    <t>Query_text</t>
  </si>
  <si>
    <t>Column_names_logical</t>
  </si>
  <si>
    <t>指示是否将列名作为结果的第一行返回.如果要将列名作为结果的第一行返回,请将该参数设置为TRUE.如果不需要将列名返回,则设置为FALSE.如果省略column_names_logical,则SQL.REQUEST函数不返回列名.</t>
  </si>
  <si>
    <t>本主题中的部分内容可能不适用于某些语言.</t>
  </si>
  <si>
    <t>Excel2003无法安装"ODBCD"组件,所以无法提供实例.</t>
  </si>
  <si>
    <t>函数宝典说明</t>
    <phoneticPr fontId="2" type="noConversion"/>
  </si>
  <si>
    <t>白话格式：</t>
  </si>
  <si>
    <t>大白话：</t>
  </si>
  <si>
    <t>的博客</t>
  </si>
  <si>
    <t>=CONCATENATE(B327,D327,"年",E327,"作者:")</t>
  </si>
  <si>
    <t>学习ＥＸＣＥＬ函数，尽在函数宝典！</t>
  </si>
  <si>
    <t>=ASC("学习EXCEL函数，尽在函数宝典！")</t>
  </si>
  <si>
    <t>学习EXCEL函数,尽在函数宝典!题</t>
  </si>
  <si>
    <t>=WIDECHAR("学习EXCEL函数,尽在函数宝典!题")</t>
  </si>
  <si>
    <t>的博客http://blog.sina.com.cn/excelbd</t>
  </si>
  <si>
    <t>计算t分布,进行t检验</t>
  </si>
  <si>
    <t>计算F分布,进行F检验</t>
  </si>
  <si>
    <t>进行Fisher变换</t>
  </si>
  <si>
    <t>计算Beta分布</t>
  </si>
  <si>
    <t>计算期间不定的定期付息证券(1)</t>
  </si>
  <si>
    <t>计算期间不定的定期付息证券(2)</t>
  </si>
  <si>
    <r>
      <t>计算第一种贝塞尔函数J</t>
    </r>
    <r>
      <rPr>
        <vertAlign val="subscript"/>
        <sz val="12"/>
        <rFont val="微软雅黑"/>
        <family val="2"/>
        <charset val="134"/>
      </rPr>
      <t>n</t>
    </r>
    <r>
      <rPr>
        <sz val="12"/>
        <rFont val="微软雅黑"/>
        <family val="2"/>
        <charset val="134"/>
      </rPr>
      <t>(x)的值</t>
    </r>
  </si>
  <si>
    <r>
      <t>计算第二种贝塞尔函数Y</t>
    </r>
    <r>
      <rPr>
        <vertAlign val="subscript"/>
        <sz val="12"/>
        <rFont val="微软雅黑"/>
        <family val="2"/>
        <charset val="134"/>
      </rPr>
      <t>n</t>
    </r>
    <r>
      <rPr>
        <sz val="12"/>
        <rFont val="微软雅黑"/>
        <family val="2"/>
        <charset val="134"/>
      </rPr>
      <t>(x)的值</t>
    </r>
  </si>
  <si>
    <r>
      <t>计算第一种修正贝塞尔函数I</t>
    </r>
    <r>
      <rPr>
        <vertAlign val="subscript"/>
        <sz val="12"/>
        <rFont val="微软雅黑"/>
        <family val="2"/>
        <charset val="134"/>
      </rPr>
      <t>n</t>
    </r>
    <r>
      <rPr>
        <sz val="12"/>
        <rFont val="微软雅黑"/>
        <family val="2"/>
        <charset val="134"/>
      </rPr>
      <t>(x)的值</t>
    </r>
  </si>
  <si>
    <r>
      <t>计算第二种修正贝塞尔函数K</t>
    </r>
    <r>
      <rPr>
        <vertAlign val="subscript"/>
        <sz val="12"/>
        <rFont val="微软雅黑"/>
        <family val="2"/>
        <charset val="134"/>
      </rPr>
      <t>n</t>
    </r>
    <r>
      <rPr>
        <sz val="12"/>
        <rFont val="微软雅黑"/>
        <family val="2"/>
        <charset val="134"/>
      </rPr>
      <t>(x)的值</t>
    </r>
  </si>
  <si>
    <t>运用外部数据源的SQL语句.MicrosoftExcel将字符串长度限制在255个字符内.如果query_text超过此长度,请在垂直单元格区域中输入查询并将整个区域作为query_text.所有单元格的值连接在一起形成完整的SQL语句.</t>
  </si>
  <si>
    <t>计算总体的方差.</t>
  </si>
  <si>
    <t>这五个参数都必须为正数.</t>
  </si>
  <si>
    <r>
      <t>Values参数说明:</t>
    </r>
    <r>
      <rPr>
        <sz val="10"/>
        <rFont val="微软雅黑"/>
        <family val="2"/>
        <charset val="134"/>
      </rPr>
      <t xml:space="preserve">
1.Values必须包含至少一个正值和一个负值,以计算返回的内部收益率.
2.函数IRR根据数值的顺序来解释现金流的顺序.故应确定按需要的顺序输入了支付和收入的数值.
3.如果数组或引用包含文本、逻辑值或空白单元格,这些数值将被忽略.
</t>
    </r>
    <r>
      <rPr>
        <sz val="10"/>
        <color indexed="10"/>
        <rFont val="微软雅黑"/>
        <family val="2"/>
        <charset val="134"/>
      </rPr>
      <t>Guess参数说明:</t>
    </r>
    <r>
      <rPr>
        <sz val="10"/>
        <rFont val="微软雅黑"/>
        <family val="2"/>
        <charset val="134"/>
      </rPr>
      <t xml:space="preserve">
1.MicrosoftExcel使用迭代法计算函数IRR.从guess开始,函数IRR进行循环计算,直至结果的精度达到0.00001%.如果函数IRR经过20次迭代,仍未找到结果,则返回错误值#NUM!.
2.在大多数情况下,并不需要为函数IRR的计算提供guess值.如果省略guess,假设它为0.1(10%).
3.如果函数IRR返回错误值#NUM!,或结果没有靠近期望值,可用另一个guess值再试一次.</t>
    </r>
  </si>
  <si>
    <t>指定的"利率"和"期间"中,定期进行偿还货款和分期存款时,计算每次的还款额需要多少.结果通常表示为负数.</t>
  </si>
  <si>
    <r>
      <t>F</t>
    </r>
    <r>
      <rPr>
        <vertAlign val="subscript"/>
        <sz val="9"/>
        <rFont val="微软雅黑"/>
        <family val="2"/>
        <charset val="134"/>
      </rPr>
      <t>(10,10)</t>
    </r>
    <r>
      <rPr>
        <sz val="9"/>
        <rFont val="微软雅黑"/>
        <family val="2"/>
        <charset val="134"/>
      </rPr>
      <t>(005)</t>
    </r>
  </si>
  <si>
    <r>
      <t>X</t>
    </r>
    <r>
      <rPr>
        <vertAlign val="superscript"/>
        <sz val="10"/>
        <rFont val="微软雅黑"/>
        <family val="2"/>
        <charset val="134"/>
      </rPr>
      <t>2</t>
    </r>
    <r>
      <rPr>
        <sz val="10"/>
        <rFont val="微软雅黑"/>
        <family val="2"/>
        <charset val="134"/>
      </rPr>
      <t>(0.05)</t>
    </r>
  </si>
  <si>
    <r>
      <t>r</t>
    </r>
    <r>
      <rPr>
        <vertAlign val="superscript"/>
        <sz val="10"/>
        <rFont val="微软雅黑"/>
        <family val="2"/>
        <charset val="134"/>
      </rPr>
      <t>2</t>
    </r>
  </si>
  <si>
    <t>计算"比率"对应位置上的数值</t>
  </si>
  <si>
    <t>计算数字区域中,0%、25%、50%、75%、100%位置上的值</t>
  </si>
  <si>
    <t>计算数据范围内的单元格数值在指定范围中所含的个数.</t>
  </si>
  <si>
    <r>
      <t>1.在选定相邻单元格区域(该区域用于显示返回的分布结果)后,函数FREQUENCY应以数组公式的形式输入.
2.返回的数组中的元素个数比bins_array(数组)中的元素个数多1.返回的数组中所多出来的元素表示超出最高间隔的数值个数.例如,如果要计算输入到三个单元格中的三个数值区间(间隔),请一定在四个单元格中输入FREQUENCY函数计算的结果.多出来的单元格将返回data_array中大于第三个间隔值的数值个数.
3.函数FREQUENCY将忽略空白单元格和文本.
4.对于返回结果为数组的公式,</t>
    </r>
    <r>
      <rPr>
        <sz val="10"/>
        <color indexed="10"/>
        <rFont val="微软雅黑"/>
        <family val="2"/>
        <charset val="134"/>
      </rPr>
      <t>必须以数组公式的形式输入.</t>
    </r>
  </si>
  <si>
    <t>找出指定排在第几大的数字.</t>
  </si>
  <si>
    <r>
      <t>=LARGE($E$19:$E$27,</t>
    </r>
    <r>
      <rPr>
        <sz val="10"/>
        <color indexed="10"/>
        <rFont val="微软雅黑"/>
        <family val="2"/>
        <charset val="134"/>
      </rPr>
      <t>1</t>
    </r>
    <r>
      <rPr>
        <sz val="10"/>
        <color indexed="12"/>
        <rFont val="微软雅黑"/>
        <family val="2"/>
        <charset val="134"/>
      </rPr>
      <t>)</t>
    </r>
  </si>
  <si>
    <r>
      <t>=LARGE($E$19:$E$27,</t>
    </r>
    <r>
      <rPr>
        <sz val="10"/>
        <color indexed="10"/>
        <rFont val="微软雅黑"/>
        <family val="2"/>
        <charset val="134"/>
      </rPr>
      <t>2</t>
    </r>
    <r>
      <rPr>
        <sz val="10"/>
        <color indexed="12"/>
        <rFont val="微软雅黑"/>
        <family val="2"/>
        <charset val="134"/>
      </rPr>
      <t>)</t>
    </r>
  </si>
  <si>
    <r>
      <t>=LARGE($E$19:$E$27,</t>
    </r>
    <r>
      <rPr>
        <sz val="10"/>
        <color indexed="10"/>
        <rFont val="微软雅黑"/>
        <family val="2"/>
        <charset val="134"/>
      </rPr>
      <t>G21</t>
    </r>
    <r>
      <rPr>
        <sz val="10"/>
        <color indexed="12"/>
        <rFont val="微软雅黑"/>
        <family val="2"/>
        <charset val="134"/>
      </rPr>
      <t>)</t>
    </r>
  </si>
  <si>
    <t>找出指定排在第几小的数字.</t>
  </si>
  <si>
    <r>
      <t>=SMALL($E$118:$E$126,</t>
    </r>
    <r>
      <rPr>
        <sz val="10"/>
        <color indexed="10"/>
        <rFont val="微软雅黑"/>
        <family val="2"/>
        <charset val="134"/>
      </rPr>
      <t>1</t>
    </r>
    <r>
      <rPr>
        <sz val="10"/>
        <color indexed="12"/>
        <rFont val="微软雅黑"/>
        <family val="2"/>
        <charset val="134"/>
      </rPr>
      <t>)</t>
    </r>
  </si>
  <si>
    <r>
      <t>=SMALL($E$118:$E$126,</t>
    </r>
    <r>
      <rPr>
        <sz val="10"/>
        <color indexed="10"/>
        <rFont val="微软雅黑"/>
        <family val="2"/>
        <charset val="134"/>
      </rPr>
      <t>2</t>
    </r>
    <r>
      <rPr>
        <sz val="10"/>
        <color indexed="12"/>
        <rFont val="微软雅黑"/>
        <family val="2"/>
        <charset val="134"/>
      </rPr>
      <t>)</t>
    </r>
  </si>
  <si>
    <r>
      <t>=SMALL($E$118:$E$126,</t>
    </r>
    <r>
      <rPr>
        <sz val="10"/>
        <color indexed="10"/>
        <rFont val="微软雅黑"/>
        <family val="2"/>
        <charset val="134"/>
      </rPr>
      <t>G120</t>
    </r>
    <r>
      <rPr>
        <sz val="10"/>
        <color indexed="12"/>
        <rFont val="微软雅黑"/>
        <family val="2"/>
        <charset val="134"/>
      </rPr>
      <t>)</t>
    </r>
  </si>
  <si>
    <r>
      <t>=RANK(E218,$E$218:$E$226,</t>
    </r>
    <r>
      <rPr>
        <sz val="10"/>
        <color indexed="10"/>
        <rFont val="微软雅黑"/>
        <family val="2"/>
        <charset val="134"/>
      </rPr>
      <t>1</t>
    </r>
    <r>
      <rPr>
        <sz val="10"/>
        <color indexed="12"/>
        <rFont val="微软雅黑"/>
        <family val="2"/>
        <charset val="134"/>
      </rPr>
      <t>)</t>
    </r>
  </si>
  <si>
    <r>
      <t>=RANK(E218,$E$218:$E$226,</t>
    </r>
    <r>
      <rPr>
        <sz val="10"/>
        <color indexed="10"/>
        <rFont val="微软雅黑"/>
        <family val="2"/>
        <charset val="134"/>
      </rPr>
      <t>0</t>
    </r>
    <r>
      <rPr>
        <sz val="10"/>
        <color indexed="12"/>
        <rFont val="微软雅黑"/>
        <family val="2"/>
        <charset val="134"/>
      </rPr>
      <t>)</t>
    </r>
  </si>
  <si>
    <r>
      <t>=RANK(E219,$E$218:$E$226,</t>
    </r>
    <r>
      <rPr>
        <sz val="10"/>
        <color indexed="10"/>
        <rFont val="微软雅黑"/>
        <family val="2"/>
        <charset val="134"/>
      </rPr>
      <t>1</t>
    </r>
    <r>
      <rPr>
        <sz val="10"/>
        <color indexed="12"/>
        <rFont val="微软雅黑"/>
        <family val="2"/>
        <charset val="134"/>
      </rPr>
      <t>)</t>
    </r>
  </si>
  <si>
    <r>
      <t>=RANK(E219,$E$218:$E$226,</t>
    </r>
    <r>
      <rPr>
        <sz val="10"/>
        <color indexed="10"/>
        <rFont val="微软雅黑"/>
        <family val="2"/>
        <charset val="134"/>
      </rPr>
      <t>0</t>
    </r>
    <r>
      <rPr>
        <sz val="10"/>
        <color indexed="12"/>
        <rFont val="微软雅黑"/>
        <family val="2"/>
        <charset val="134"/>
      </rPr>
      <t>)</t>
    </r>
  </si>
  <si>
    <r>
      <t>=RANK(E220,$E$218:$E$226,</t>
    </r>
    <r>
      <rPr>
        <sz val="10"/>
        <color indexed="10"/>
        <rFont val="微软雅黑"/>
        <family val="2"/>
        <charset val="134"/>
      </rPr>
      <t>1</t>
    </r>
    <r>
      <rPr>
        <sz val="10"/>
        <color indexed="12"/>
        <rFont val="微软雅黑"/>
        <family val="2"/>
        <charset val="134"/>
      </rPr>
      <t>)</t>
    </r>
  </si>
  <si>
    <r>
      <t>=RANK(E220,$E$218:$E$226,</t>
    </r>
    <r>
      <rPr>
        <sz val="10"/>
        <color indexed="10"/>
        <rFont val="微软雅黑"/>
        <family val="2"/>
        <charset val="134"/>
      </rPr>
      <t>0</t>
    </r>
    <r>
      <rPr>
        <sz val="10"/>
        <color indexed="12"/>
        <rFont val="微软雅黑"/>
        <family val="2"/>
        <charset val="134"/>
      </rPr>
      <t>)</t>
    </r>
  </si>
  <si>
    <t>计算指定的几个"值"的中位数.</t>
  </si>
  <si>
    <r>
      <t>返回在某一数组或数据区域中</t>
    </r>
    <r>
      <rPr>
        <sz val="10"/>
        <color indexed="10"/>
        <rFont val="微软雅黑"/>
        <family val="2"/>
        <charset val="134"/>
      </rPr>
      <t>出现频率最多的数值</t>
    </r>
    <r>
      <rPr>
        <sz val="10"/>
        <rFont val="微软雅黑"/>
        <family val="2"/>
        <charset val="134"/>
      </rPr>
      <t>.同MEDIAN一样,MODE也是一个位置测量函数.</t>
    </r>
  </si>
  <si>
    <t>找出出现最数最多的数值.</t>
  </si>
  <si>
    <r>
      <t>在一组数值中,众数是出现频率最高的数值,而中位数是位于中间的值,平均数是平均后的值</t>
    </r>
    <r>
      <rPr>
        <sz val="10"/>
        <rFont val="微软雅黑"/>
        <family val="2"/>
        <charset val="134"/>
      </rPr>
      <t>,所有这些求中函数都不能单独地完全描绘所有数据.例如,假设数据分布在三个区域中,其中一半分布在一个较小数值区中,另外一半分布在两个较大数值区中.函数AVERAGE和函数MEDIAN可能会返回位于数据点稀疏处的中间值；而函数MODE则会返回位于数据点密集处的较小值.</t>
    </r>
  </si>
  <si>
    <t>所有单元格的平均值.</t>
  </si>
  <si>
    <r>
      <t>逻辑值、空白、数字0、数值3、数字-6、公式空值:</t>
    </r>
    <r>
      <rPr>
        <sz val="10"/>
        <rFont val="微软雅黑"/>
        <family val="2"/>
        <charset val="134"/>
      </rPr>
      <t>计算的区域中减去错误值,正常运算.特别注意:包含TRUE的参数作为1计算；包含FALSE的参数作为0计算.</t>
    </r>
  </si>
  <si>
    <r>
      <t>空白、数字0、数值3、数字-6、公式空值:</t>
    </r>
    <r>
      <rPr>
        <sz val="10"/>
        <rFont val="微软雅黑"/>
        <family val="2"/>
        <charset val="134"/>
      </rPr>
      <t>减去逻辑值,结果发生变化,说明逻辑值包含在计算值内.</t>
    </r>
  </si>
  <si>
    <r>
      <t>数字0、数值3、数字-6、公式空值:</t>
    </r>
    <r>
      <rPr>
        <sz val="10"/>
        <rFont val="微软雅黑"/>
        <family val="2"/>
        <charset val="134"/>
      </rPr>
      <t>减去一个空白单元格,结果没变化,说明空白单元格不计算在内.</t>
    </r>
  </si>
  <si>
    <r>
      <t>数值3、数字-6、公式空值:</t>
    </r>
    <r>
      <rPr>
        <sz val="10"/>
        <rFont val="微软雅黑"/>
        <family val="2"/>
        <charset val="134"/>
      </rPr>
      <t>减去数字0单元格,结果发生变化,说明数字单元格不这数值多少,都包含在计算值内.</t>
    </r>
  </si>
  <si>
    <r>
      <t>数值3、数字-6</t>
    </r>
    <r>
      <rPr>
        <sz val="10"/>
        <rFont val="微软雅黑"/>
        <family val="2"/>
        <charset val="134"/>
      </rPr>
      <t>:减去公式空值单元格,结果发生变化,说明公式空值单元格包含在计算值内.</t>
    </r>
  </si>
  <si>
    <t>计算几何平均值.</t>
  </si>
  <si>
    <r>
      <t>1.参数可以是数字,或者是包含数字的名称、数组或引用.
2.如果数组或引用参数包含文本、逻辑值或空白单元格,则这些值将被忽略；
3.如果</t>
    </r>
    <r>
      <rPr>
        <sz val="10"/>
        <color indexed="10"/>
        <rFont val="微软雅黑"/>
        <family val="2"/>
        <charset val="134"/>
      </rPr>
      <t>任何数据点≤0,函数GEOMEAN返回错误值#NUM!</t>
    </r>
    <r>
      <rPr>
        <sz val="10"/>
        <rFont val="微软雅黑"/>
        <family val="2"/>
        <charset val="134"/>
      </rPr>
      <t>.</t>
    </r>
    <r>
      <rPr>
        <b/>
        <sz val="10"/>
        <color indexed="10"/>
        <rFont val="微软雅黑"/>
        <family val="2"/>
        <charset val="134"/>
      </rPr>
      <t>F1帮助中有这一句:但包含零值的单元格将计算在内.验证后是错误的.</t>
    </r>
    <r>
      <rPr>
        <sz val="10"/>
        <rFont val="微软雅黑"/>
        <family val="2"/>
        <charset val="134"/>
      </rPr>
      <t xml:space="preserve">
4.几何平均值的计算公式如下:</t>
    </r>
  </si>
  <si>
    <r>
      <t>逻辑值、空白、错误值、数值0、数值3、文本性数字、公式空值:</t>
    </r>
    <r>
      <rPr>
        <sz val="10"/>
        <rFont val="微软雅黑"/>
        <family val="2"/>
        <charset val="134"/>
      </rPr>
      <t>不能正常运算.</t>
    </r>
  </si>
  <si>
    <r>
      <t>逻辑值、空白、数值0、数值4、文本性数字、公式空值:</t>
    </r>
    <r>
      <rPr>
        <sz val="10"/>
        <rFont val="微软雅黑"/>
        <family val="2"/>
        <charset val="134"/>
      </rPr>
      <t>减去错误值，还是不能正常运算.</t>
    </r>
  </si>
  <si>
    <r>
      <t>逻辑值、空白、数值4、文本性数字、公式空值:</t>
    </r>
    <r>
      <rPr>
        <sz val="10"/>
        <rFont val="微软雅黑"/>
        <family val="2"/>
        <charset val="134"/>
      </rPr>
      <t>减去数值0，正常运算.</t>
    </r>
  </si>
  <si>
    <r>
      <t>1.参数可以是数字,或者是包含数字的名称、数组或引用.
2.如果数组或引用参数包含文本、逻辑值或空白单元格,则这些值将被忽略；但包含零值的单元格将计算在内.
3.如果</t>
    </r>
    <r>
      <rPr>
        <sz val="10"/>
        <color indexed="10"/>
        <rFont val="微软雅黑"/>
        <family val="2"/>
        <charset val="134"/>
      </rPr>
      <t>任何数据点小于等于0,函数HARMEAN返回错误值#NUM!.</t>
    </r>
    <r>
      <rPr>
        <sz val="10"/>
        <rFont val="微软雅黑"/>
        <family val="2"/>
        <charset val="134"/>
      </rPr>
      <t xml:space="preserve">
4.调和平均值总小于几何平均值,而几何平均值总小于算术平均值.
5.调和平均值的计算公式如下：</t>
    </r>
  </si>
  <si>
    <r>
      <t>=EXACT(</t>
    </r>
    <r>
      <rPr>
        <sz val="10"/>
        <color indexed="10"/>
        <rFont val="微软雅黑"/>
        <family val="2"/>
        <charset val="134"/>
      </rPr>
      <t>B17</t>
    </r>
    <r>
      <rPr>
        <sz val="10"/>
        <color indexed="12"/>
        <rFont val="微软雅黑"/>
        <family val="2"/>
        <charset val="134"/>
      </rPr>
      <t>,D17)</t>
    </r>
  </si>
  <si>
    <r>
      <t>=EXACT(</t>
    </r>
    <r>
      <rPr>
        <sz val="10"/>
        <color indexed="10"/>
        <rFont val="微软雅黑"/>
        <family val="2"/>
        <charset val="134"/>
      </rPr>
      <t>"每男每女"</t>
    </r>
    <r>
      <rPr>
        <sz val="10"/>
        <color indexed="12"/>
        <rFont val="微软雅黑"/>
        <family val="2"/>
        <charset val="134"/>
      </rPr>
      <t>,B22)</t>
    </r>
  </si>
  <si>
    <r>
      <t>=REPT(B116,</t>
    </r>
    <r>
      <rPr>
        <sz val="10"/>
        <color indexed="10"/>
        <rFont val="微软雅黑"/>
        <family val="2"/>
        <charset val="134"/>
      </rPr>
      <t>C116</t>
    </r>
    <r>
      <rPr>
        <sz val="10"/>
        <color indexed="12"/>
        <rFont val="微软雅黑"/>
        <family val="2"/>
        <charset val="134"/>
      </rPr>
      <t>)</t>
    </r>
  </si>
  <si>
    <r>
      <t>=REPT(B117,</t>
    </r>
    <r>
      <rPr>
        <sz val="10"/>
        <color indexed="10"/>
        <rFont val="微软雅黑"/>
        <family val="2"/>
        <charset val="134"/>
      </rPr>
      <t>3</t>
    </r>
    <r>
      <rPr>
        <sz val="10"/>
        <color indexed="12"/>
        <rFont val="微软雅黑"/>
        <family val="2"/>
        <charset val="134"/>
      </rPr>
      <t>)</t>
    </r>
  </si>
  <si>
    <r>
      <t>=REPT(</t>
    </r>
    <r>
      <rPr>
        <sz val="10"/>
        <color indexed="10"/>
        <rFont val="微软雅黑"/>
        <family val="2"/>
        <charset val="134"/>
      </rPr>
      <t>"★"</t>
    </r>
    <r>
      <rPr>
        <sz val="10"/>
        <color indexed="12"/>
        <rFont val="微软雅黑"/>
        <family val="2"/>
        <charset val="134"/>
      </rPr>
      <t>,F125/200)</t>
    </r>
  </si>
  <si>
    <r>
      <t>=REPT(</t>
    </r>
    <r>
      <rPr>
        <sz val="10"/>
        <color indexed="10"/>
        <rFont val="微软雅黑"/>
        <family val="2"/>
        <charset val="134"/>
      </rPr>
      <t>G124</t>
    </r>
    <r>
      <rPr>
        <sz val="10"/>
        <color indexed="12"/>
        <rFont val="微软雅黑"/>
        <family val="2"/>
        <charset val="134"/>
      </rPr>
      <t>,F126/200)</t>
    </r>
  </si>
  <si>
    <t>当目标是文本时,显示纯文本,否则为空.(纯文本:只有文字,不包含别的格式)</t>
  </si>
  <si>
    <r>
      <t>=RMB(D128,</t>
    </r>
    <r>
      <rPr>
        <sz val="10"/>
        <color indexed="10"/>
        <rFont val="微软雅黑"/>
        <family val="2"/>
        <charset val="134"/>
      </rPr>
      <t>0</t>
    </r>
    <r>
      <rPr>
        <sz val="10"/>
        <color indexed="12"/>
        <rFont val="微软雅黑"/>
        <family val="2"/>
        <charset val="134"/>
      </rPr>
      <t>)</t>
    </r>
  </si>
  <si>
    <r>
      <t>=RMB(D129,</t>
    </r>
    <r>
      <rPr>
        <sz val="10"/>
        <color indexed="10"/>
        <rFont val="微软雅黑"/>
        <family val="2"/>
        <charset val="134"/>
      </rPr>
      <t>1</t>
    </r>
    <r>
      <rPr>
        <sz val="10"/>
        <color indexed="12"/>
        <rFont val="微软雅黑"/>
        <family val="2"/>
        <charset val="134"/>
      </rPr>
      <t>)</t>
    </r>
  </si>
  <si>
    <r>
      <t>=RMB(D130,</t>
    </r>
    <r>
      <rPr>
        <sz val="10"/>
        <color indexed="10"/>
        <rFont val="微软雅黑"/>
        <family val="2"/>
        <charset val="134"/>
      </rPr>
      <t>-1</t>
    </r>
    <r>
      <rPr>
        <sz val="10"/>
        <color indexed="12"/>
        <rFont val="微软雅黑"/>
        <family val="2"/>
        <charset val="134"/>
      </rPr>
      <t>)</t>
    </r>
  </si>
  <si>
    <r>
      <t>=RMB(D131</t>
    </r>
    <r>
      <rPr>
        <sz val="10"/>
        <color indexed="10"/>
        <rFont val="微软雅黑"/>
        <family val="2"/>
        <charset val="134"/>
      </rPr>
      <t>,)</t>
    </r>
  </si>
  <si>
    <r>
      <t>=RMB(D132</t>
    </r>
    <r>
      <rPr>
        <sz val="10"/>
        <color indexed="10"/>
        <rFont val="微软雅黑"/>
        <family val="2"/>
        <charset val="134"/>
      </rPr>
      <t>)</t>
    </r>
  </si>
  <si>
    <r>
      <t>=RMB(B139,</t>
    </r>
    <r>
      <rPr>
        <sz val="10"/>
        <color indexed="10"/>
        <rFont val="微软雅黑"/>
        <family val="2"/>
        <charset val="134"/>
      </rPr>
      <t>0</t>
    </r>
    <r>
      <rPr>
        <sz val="10"/>
        <color indexed="12"/>
        <rFont val="微软雅黑"/>
        <family val="2"/>
        <charset val="134"/>
      </rPr>
      <t>)</t>
    </r>
  </si>
  <si>
    <r>
      <t>=RMB(B140,</t>
    </r>
    <r>
      <rPr>
        <sz val="10"/>
        <color indexed="10"/>
        <rFont val="微软雅黑"/>
        <family val="2"/>
        <charset val="134"/>
      </rPr>
      <t>1</t>
    </r>
    <r>
      <rPr>
        <sz val="10"/>
        <color indexed="12"/>
        <rFont val="微软雅黑"/>
        <family val="2"/>
        <charset val="134"/>
      </rPr>
      <t>)</t>
    </r>
  </si>
  <si>
    <r>
      <t>=RMB(B141,</t>
    </r>
    <r>
      <rPr>
        <sz val="10"/>
        <color indexed="10"/>
        <rFont val="微软雅黑"/>
        <family val="2"/>
        <charset val="134"/>
      </rPr>
      <t>2</t>
    </r>
    <r>
      <rPr>
        <sz val="10"/>
        <color indexed="12"/>
        <rFont val="微软雅黑"/>
        <family val="2"/>
        <charset val="134"/>
      </rPr>
      <t>)</t>
    </r>
  </si>
  <si>
    <r>
      <t>=RMB(B142,</t>
    </r>
    <r>
      <rPr>
        <sz val="10"/>
        <color indexed="10"/>
        <rFont val="微软雅黑"/>
        <family val="2"/>
        <charset val="134"/>
      </rPr>
      <t>-1</t>
    </r>
    <r>
      <rPr>
        <sz val="10"/>
        <color indexed="12"/>
        <rFont val="微软雅黑"/>
        <family val="2"/>
        <charset val="134"/>
      </rPr>
      <t>)</t>
    </r>
  </si>
  <si>
    <r>
      <t>=RMB(B143,</t>
    </r>
    <r>
      <rPr>
        <sz val="10"/>
        <color indexed="10"/>
        <rFont val="微软雅黑"/>
        <family val="2"/>
        <charset val="134"/>
      </rPr>
      <t>-2</t>
    </r>
    <r>
      <rPr>
        <sz val="10"/>
        <color indexed="12"/>
        <rFont val="微软雅黑"/>
        <family val="2"/>
        <charset val="134"/>
      </rPr>
      <t>)</t>
    </r>
  </si>
  <si>
    <r>
      <t>=RMB(B144</t>
    </r>
    <r>
      <rPr>
        <sz val="10"/>
        <color indexed="10"/>
        <rFont val="微软雅黑"/>
        <family val="2"/>
        <charset val="134"/>
      </rPr>
      <t>)</t>
    </r>
  </si>
  <si>
    <r>
      <t>=DOLLAR(D128,</t>
    </r>
    <r>
      <rPr>
        <sz val="10"/>
        <color indexed="10"/>
        <rFont val="微软雅黑"/>
        <family val="2"/>
        <charset val="134"/>
      </rPr>
      <t>0</t>
    </r>
    <r>
      <rPr>
        <sz val="10"/>
        <color indexed="12"/>
        <rFont val="微软雅黑"/>
        <family val="2"/>
        <charset val="134"/>
      </rPr>
      <t>)</t>
    </r>
  </si>
  <si>
    <r>
      <t>=DOLLAR(D129,</t>
    </r>
    <r>
      <rPr>
        <sz val="10"/>
        <color indexed="10"/>
        <rFont val="微软雅黑"/>
        <family val="2"/>
        <charset val="134"/>
      </rPr>
      <t>1</t>
    </r>
    <r>
      <rPr>
        <sz val="10"/>
        <color indexed="12"/>
        <rFont val="微软雅黑"/>
        <family val="2"/>
        <charset val="134"/>
      </rPr>
      <t>)</t>
    </r>
  </si>
  <si>
    <r>
      <t>=DOLLAR(D130,</t>
    </r>
    <r>
      <rPr>
        <sz val="10"/>
        <color indexed="10"/>
        <rFont val="微软雅黑"/>
        <family val="2"/>
        <charset val="134"/>
      </rPr>
      <t>-1</t>
    </r>
    <r>
      <rPr>
        <sz val="10"/>
        <color indexed="12"/>
        <rFont val="微软雅黑"/>
        <family val="2"/>
        <charset val="134"/>
      </rPr>
      <t>)</t>
    </r>
  </si>
  <si>
    <r>
      <t>=DOLLAR(D131</t>
    </r>
    <r>
      <rPr>
        <sz val="10"/>
        <color indexed="10"/>
        <rFont val="微软雅黑"/>
        <family val="2"/>
        <charset val="134"/>
      </rPr>
      <t>,)</t>
    </r>
  </si>
  <si>
    <r>
      <t>=DOLLAR(D132</t>
    </r>
    <r>
      <rPr>
        <sz val="10"/>
        <color indexed="10"/>
        <rFont val="微软雅黑"/>
        <family val="2"/>
        <charset val="134"/>
      </rPr>
      <t>)</t>
    </r>
  </si>
  <si>
    <r>
      <t>=DOLLAR(B139,</t>
    </r>
    <r>
      <rPr>
        <sz val="10"/>
        <color indexed="10"/>
        <rFont val="微软雅黑"/>
        <family val="2"/>
        <charset val="134"/>
      </rPr>
      <t>0</t>
    </r>
    <r>
      <rPr>
        <sz val="10"/>
        <color indexed="12"/>
        <rFont val="微软雅黑"/>
        <family val="2"/>
        <charset val="134"/>
      </rPr>
      <t>)</t>
    </r>
  </si>
  <si>
    <r>
      <t>=DOLLAR(B140,</t>
    </r>
    <r>
      <rPr>
        <sz val="10"/>
        <color indexed="10"/>
        <rFont val="微软雅黑"/>
        <family val="2"/>
        <charset val="134"/>
      </rPr>
      <t>1</t>
    </r>
    <r>
      <rPr>
        <sz val="10"/>
        <color indexed="12"/>
        <rFont val="微软雅黑"/>
        <family val="2"/>
        <charset val="134"/>
      </rPr>
      <t>)</t>
    </r>
  </si>
  <si>
    <r>
      <t>=DOLLAR(B141,</t>
    </r>
    <r>
      <rPr>
        <sz val="10"/>
        <color indexed="10"/>
        <rFont val="微软雅黑"/>
        <family val="2"/>
        <charset val="134"/>
      </rPr>
      <t>2</t>
    </r>
    <r>
      <rPr>
        <sz val="10"/>
        <color indexed="12"/>
        <rFont val="微软雅黑"/>
        <family val="2"/>
        <charset val="134"/>
      </rPr>
      <t>)</t>
    </r>
  </si>
  <si>
    <r>
      <t>=DOLLAR(B142,</t>
    </r>
    <r>
      <rPr>
        <sz val="10"/>
        <color indexed="10"/>
        <rFont val="微软雅黑"/>
        <family val="2"/>
        <charset val="134"/>
      </rPr>
      <t>-1</t>
    </r>
    <r>
      <rPr>
        <sz val="10"/>
        <color indexed="12"/>
        <rFont val="微软雅黑"/>
        <family val="2"/>
        <charset val="134"/>
      </rPr>
      <t>)</t>
    </r>
  </si>
  <si>
    <r>
      <t>=DOLLAR(B143,</t>
    </r>
    <r>
      <rPr>
        <sz val="10"/>
        <color indexed="10"/>
        <rFont val="微软雅黑"/>
        <family val="2"/>
        <charset val="134"/>
      </rPr>
      <t>-2</t>
    </r>
    <r>
      <rPr>
        <sz val="10"/>
        <color indexed="12"/>
        <rFont val="微软雅黑"/>
        <family val="2"/>
        <charset val="134"/>
      </rPr>
      <t>)</t>
    </r>
  </si>
  <si>
    <r>
      <t>=DOLLAR(B144</t>
    </r>
    <r>
      <rPr>
        <sz val="10"/>
        <color indexed="10"/>
        <rFont val="微软雅黑"/>
        <family val="2"/>
        <charset val="134"/>
      </rPr>
      <t>)</t>
    </r>
  </si>
  <si>
    <r>
      <t>=BAHTTEXT(</t>
    </r>
    <r>
      <rPr>
        <sz val="10"/>
        <color indexed="10"/>
        <rFont val="微软雅黑"/>
        <family val="2"/>
        <charset val="134"/>
      </rPr>
      <t>D218</t>
    </r>
    <r>
      <rPr>
        <sz val="10"/>
        <color indexed="12"/>
        <rFont val="微软雅黑"/>
        <family val="2"/>
        <charset val="134"/>
      </rPr>
      <t>)</t>
    </r>
  </si>
  <si>
    <r>
      <t>=BAHTTEXT(</t>
    </r>
    <r>
      <rPr>
        <sz val="10"/>
        <color indexed="10"/>
        <rFont val="微软雅黑"/>
        <family val="2"/>
        <charset val="134"/>
      </rPr>
      <t>18431</t>
    </r>
    <r>
      <rPr>
        <sz val="10"/>
        <color indexed="12"/>
        <rFont val="微软雅黑"/>
        <family val="2"/>
        <charset val="134"/>
      </rPr>
      <t>)</t>
    </r>
  </si>
  <si>
    <r>
      <t>=FIXED(D332,0,</t>
    </r>
    <r>
      <rPr>
        <sz val="10"/>
        <color indexed="10"/>
        <rFont val="微软雅黑"/>
        <family val="2"/>
        <charset val="134"/>
      </rPr>
      <t>FALSE</t>
    </r>
    <r>
      <rPr>
        <sz val="10"/>
        <color indexed="12"/>
        <rFont val="微软雅黑"/>
        <family val="2"/>
        <charset val="134"/>
      </rPr>
      <t>)</t>
    </r>
  </si>
  <si>
    <r>
      <t>=FIXED(D333,0,</t>
    </r>
    <r>
      <rPr>
        <sz val="10"/>
        <color indexed="10"/>
        <rFont val="微软雅黑"/>
        <family val="2"/>
        <charset val="134"/>
      </rPr>
      <t>TRUE</t>
    </r>
    <r>
      <rPr>
        <sz val="10"/>
        <color indexed="12"/>
        <rFont val="微软雅黑"/>
        <family val="2"/>
        <charset val="134"/>
      </rPr>
      <t>)</t>
    </r>
  </si>
  <si>
    <r>
      <t>=FIXED(D334,0,</t>
    </r>
    <r>
      <rPr>
        <sz val="10"/>
        <color indexed="10"/>
        <rFont val="微软雅黑"/>
        <family val="2"/>
        <charset val="134"/>
      </rPr>
      <t>0</t>
    </r>
    <r>
      <rPr>
        <sz val="10"/>
        <color indexed="12"/>
        <rFont val="微软雅黑"/>
        <family val="2"/>
        <charset val="134"/>
      </rPr>
      <t>)</t>
    </r>
  </si>
  <si>
    <r>
      <t>=FIXED(D335,0,</t>
    </r>
    <r>
      <rPr>
        <sz val="10"/>
        <color indexed="10"/>
        <rFont val="微软雅黑"/>
        <family val="2"/>
        <charset val="134"/>
      </rPr>
      <t>1</t>
    </r>
    <r>
      <rPr>
        <sz val="10"/>
        <color indexed="12"/>
        <rFont val="微软雅黑"/>
        <family val="2"/>
        <charset val="134"/>
      </rPr>
      <t>)</t>
    </r>
  </si>
  <si>
    <r>
      <t>=FIXED(B342,</t>
    </r>
    <r>
      <rPr>
        <sz val="10"/>
        <color indexed="10"/>
        <rFont val="微软雅黑"/>
        <family val="2"/>
        <charset val="134"/>
      </rPr>
      <t>0</t>
    </r>
    <r>
      <rPr>
        <sz val="10"/>
        <color indexed="12"/>
        <rFont val="微软雅黑"/>
        <family val="2"/>
        <charset val="134"/>
      </rPr>
      <t>,0)</t>
    </r>
  </si>
  <si>
    <r>
      <t>=FIXED(B343,</t>
    </r>
    <r>
      <rPr>
        <sz val="10"/>
        <color indexed="10"/>
        <rFont val="微软雅黑"/>
        <family val="2"/>
        <charset val="134"/>
      </rPr>
      <t>1</t>
    </r>
    <r>
      <rPr>
        <sz val="10"/>
        <color indexed="12"/>
        <rFont val="微软雅黑"/>
        <family val="2"/>
        <charset val="134"/>
      </rPr>
      <t>,0)</t>
    </r>
  </si>
  <si>
    <r>
      <t>=FIXED(B344,</t>
    </r>
    <r>
      <rPr>
        <sz val="10"/>
        <color indexed="10"/>
        <rFont val="微软雅黑"/>
        <family val="2"/>
        <charset val="134"/>
      </rPr>
      <t>2</t>
    </r>
    <r>
      <rPr>
        <sz val="10"/>
        <color indexed="12"/>
        <rFont val="微软雅黑"/>
        <family val="2"/>
        <charset val="134"/>
      </rPr>
      <t>,0)</t>
    </r>
  </si>
  <si>
    <r>
      <t>=FIXED(B345,</t>
    </r>
    <r>
      <rPr>
        <sz val="10"/>
        <color indexed="10"/>
        <rFont val="微软雅黑"/>
        <family val="2"/>
        <charset val="134"/>
      </rPr>
      <t>-1</t>
    </r>
    <r>
      <rPr>
        <sz val="10"/>
        <color indexed="12"/>
        <rFont val="微软雅黑"/>
        <family val="2"/>
        <charset val="134"/>
      </rPr>
      <t>,0)</t>
    </r>
  </si>
  <si>
    <r>
      <t>=FIXED(B346,</t>
    </r>
    <r>
      <rPr>
        <sz val="10"/>
        <color indexed="10"/>
        <rFont val="微软雅黑"/>
        <family val="2"/>
        <charset val="134"/>
      </rPr>
      <t>-2</t>
    </r>
    <r>
      <rPr>
        <sz val="10"/>
        <color indexed="12"/>
        <rFont val="微软雅黑"/>
        <family val="2"/>
        <charset val="134"/>
      </rPr>
      <t>,0)</t>
    </r>
  </si>
  <si>
    <r>
      <t>=FIXED(B347,</t>
    </r>
    <r>
      <rPr>
        <sz val="10"/>
        <color indexed="10"/>
        <rFont val="微软雅黑"/>
        <family val="2"/>
        <charset val="134"/>
      </rPr>
      <t>1</t>
    </r>
    <r>
      <rPr>
        <sz val="10"/>
        <color indexed="12"/>
        <rFont val="微软雅黑"/>
        <family val="2"/>
        <charset val="134"/>
      </rPr>
      <t>,</t>
    </r>
    <r>
      <rPr>
        <sz val="10"/>
        <color indexed="10"/>
        <rFont val="微软雅黑"/>
        <family val="2"/>
        <charset val="134"/>
      </rPr>
      <t>1</t>
    </r>
    <r>
      <rPr>
        <sz val="10"/>
        <color indexed="12"/>
        <rFont val="微软雅黑"/>
        <family val="2"/>
        <charset val="134"/>
      </rPr>
      <t>)</t>
    </r>
  </si>
  <si>
    <r>
      <t>=ROMAN(E434,</t>
    </r>
    <r>
      <rPr>
        <sz val="10"/>
        <color indexed="10"/>
        <rFont val="微软雅黑"/>
        <family val="2"/>
        <charset val="134"/>
      </rPr>
      <t>0</t>
    </r>
    <r>
      <rPr>
        <sz val="10"/>
        <color indexed="12"/>
        <rFont val="微软雅黑"/>
        <family val="2"/>
        <charset val="134"/>
      </rPr>
      <t>)</t>
    </r>
  </si>
  <si>
    <r>
      <t>=ROMAN(E435,</t>
    </r>
    <r>
      <rPr>
        <sz val="10"/>
        <color indexed="10"/>
        <rFont val="微软雅黑"/>
        <family val="2"/>
        <charset val="134"/>
      </rPr>
      <t>1</t>
    </r>
    <r>
      <rPr>
        <sz val="10"/>
        <color indexed="12"/>
        <rFont val="微软雅黑"/>
        <family val="2"/>
        <charset val="134"/>
      </rPr>
      <t>)</t>
    </r>
  </si>
  <si>
    <r>
      <t>=ROMAN(E436,</t>
    </r>
    <r>
      <rPr>
        <sz val="10"/>
        <color indexed="10"/>
        <rFont val="微软雅黑"/>
        <family val="2"/>
        <charset val="134"/>
      </rPr>
      <t>2</t>
    </r>
    <r>
      <rPr>
        <sz val="10"/>
        <color indexed="12"/>
        <rFont val="微软雅黑"/>
        <family val="2"/>
        <charset val="134"/>
      </rPr>
      <t>)</t>
    </r>
  </si>
  <si>
    <r>
      <t>=ROMAN(E437,</t>
    </r>
    <r>
      <rPr>
        <sz val="10"/>
        <color indexed="10"/>
        <rFont val="微软雅黑"/>
        <family val="2"/>
        <charset val="134"/>
      </rPr>
      <t>3</t>
    </r>
    <r>
      <rPr>
        <sz val="10"/>
        <color indexed="12"/>
        <rFont val="微软雅黑"/>
        <family val="2"/>
        <charset val="134"/>
      </rPr>
      <t>)</t>
    </r>
  </si>
  <si>
    <r>
      <t>=ROMAN(E438,</t>
    </r>
    <r>
      <rPr>
        <sz val="10"/>
        <color indexed="10"/>
        <rFont val="微软雅黑"/>
        <family val="2"/>
        <charset val="134"/>
      </rPr>
      <t>4</t>
    </r>
    <r>
      <rPr>
        <sz val="10"/>
        <color indexed="12"/>
        <rFont val="微软雅黑"/>
        <family val="2"/>
        <charset val="134"/>
      </rPr>
      <t>)</t>
    </r>
  </si>
  <si>
    <r>
      <t>=NUMBERSTRING(D519,</t>
    </r>
    <r>
      <rPr>
        <sz val="10"/>
        <color indexed="10"/>
        <rFont val="微软雅黑"/>
        <family val="2"/>
        <charset val="134"/>
      </rPr>
      <t>1</t>
    </r>
    <r>
      <rPr>
        <sz val="10"/>
        <color indexed="12"/>
        <rFont val="微软雅黑"/>
        <family val="2"/>
        <charset val="134"/>
      </rPr>
      <t>)</t>
    </r>
  </si>
  <si>
    <r>
      <t>=NUMBERSTRING(D520,</t>
    </r>
    <r>
      <rPr>
        <sz val="10"/>
        <color indexed="10"/>
        <rFont val="微软雅黑"/>
        <family val="2"/>
        <charset val="134"/>
      </rPr>
      <t>2</t>
    </r>
    <r>
      <rPr>
        <sz val="10"/>
        <color indexed="12"/>
        <rFont val="微软雅黑"/>
        <family val="2"/>
        <charset val="134"/>
      </rPr>
      <t>)</t>
    </r>
  </si>
  <si>
    <r>
      <t>=NUMBERSTRING(D521,</t>
    </r>
    <r>
      <rPr>
        <sz val="10"/>
        <color indexed="10"/>
        <rFont val="微软雅黑"/>
        <family val="2"/>
        <charset val="134"/>
      </rPr>
      <t>3</t>
    </r>
    <r>
      <rPr>
        <sz val="10"/>
        <color indexed="12"/>
        <rFont val="微软雅黑"/>
        <family val="2"/>
        <charset val="134"/>
      </rPr>
      <t>)</t>
    </r>
  </si>
  <si>
    <r>
      <t>="</t>
    </r>
    <r>
      <rPr>
        <sz val="10"/>
        <color indexed="10"/>
        <rFont val="微软雅黑"/>
        <family val="2"/>
        <charset val="134"/>
      </rPr>
      <t>￥</t>
    </r>
    <r>
      <rPr>
        <sz val="10"/>
        <color indexed="12"/>
        <rFont val="微软雅黑"/>
        <family val="2"/>
        <charset val="134"/>
      </rPr>
      <t>"&amp;NUMBERSTRING(D522,</t>
    </r>
    <r>
      <rPr>
        <sz val="10"/>
        <color indexed="10"/>
        <rFont val="微软雅黑"/>
        <family val="2"/>
        <charset val="134"/>
      </rPr>
      <t>2</t>
    </r>
    <r>
      <rPr>
        <sz val="10"/>
        <color indexed="12"/>
        <rFont val="微软雅黑"/>
        <family val="2"/>
        <charset val="134"/>
      </rPr>
      <t>)&amp;"</t>
    </r>
    <r>
      <rPr>
        <sz val="10"/>
        <color indexed="10"/>
        <rFont val="微软雅黑"/>
        <family val="2"/>
        <charset val="134"/>
      </rPr>
      <t>元</t>
    </r>
    <r>
      <rPr>
        <sz val="10"/>
        <color indexed="12"/>
        <rFont val="微软雅黑"/>
        <family val="2"/>
        <charset val="134"/>
      </rPr>
      <t>"</t>
    </r>
  </si>
  <si>
    <r>
      <t>=NUMBERSTRING(</t>
    </r>
    <r>
      <rPr>
        <sz val="10"/>
        <color indexed="10"/>
        <rFont val="微软雅黑"/>
        <family val="2"/>
        <charset val="134"/>
      </rPr>
      <t>451</t>
    </r>
    <r>
      <rPr>
        <sz val="10"/>
        <color indexed="12"/>
        <rFont val="微软雅黑"/>
        <family val="2"/>
        <charset val="134"/>
      </rPr>
      <t>,2)</t>
    </r>
  </si>
  <si>
    <t>连续空格保留一个,删除其他空格.</t>
  </si>
  <si>
    <r>
      <t>=SUBSTITUTE(B22,"美男美女",$C$24,</t>
    </r>
    <r>
      <rPr>
        <sz val="10"/>
        <color indexed="10"/>
        <rFont val="微软雅黑"/>
        <family val="2"/>
        <charset val="134"/>
      </rPr>
      <t>1</t>
    </r>
    <r>
      <rPr>
        <sz val="10"/>
        <color indexed="12"/>
        <rFont val="微软雅黑"/>
        <family val="2"/>
        <charset val="134"/>
      </rPr>
      <t>)</t>
    </r>
  </si>
  <si>
    <r>
      <t>=SUBSTITUTE(B23,"美男美女",$C$24,</t>
    </r>
    <r>
      <rPr>
        <sz val="10"/>
        <color indexed="10"/>
        <rFont val="微软雅黑"/>
        <family val="2"/>
        <charset val="134"/>
      </rPr>
      <t>2</t>
    </r>
    <r>
      <rPr>
        <sz val="10"/>
        <color indexed="12"/>
        <rFont val="微软雅黑"/>
        <family val="2"/>
        <charset val="134"/>
      </rPr>
      <t>)</t>
    </r>
  </si>
  <si>
    <r>
      <t>=REPLACE(B120,</t>
    </r>
    <r>
      <rPr>
        <sz val="10"/>
        <color indexed="10"/>
        <rFont val="微软雅黑"/>
        <family val="2"/>
        <charset val="134"/>
      </rPr>
      <t>1</t>
    </r>
    <r>
      <rPr>
        <sz val="10"/>
        <color indexed="12"/>
        <rFont val="微软雅黑"/>
        <family val="2"/>
        <charset val="134"/>
      </rPr>
      <t>,4,"每男每女")</t>
    </r>
  </si>
  <si>
    <r>
      <t>=REPLACE(B121,4,</t>
    </r>
    <r>
      <rPr>
        <sz val="10"/>
        <color indexed="10"/>
        <rFont val="微软雅黑"/>
        <family val="2"/>
        <charset val="134"/>
      </rPr>
      <t>4</t>
    </r>
    <r>
      <rPr>
        <sz val="10"/>
        <color indexed="12"/>
        <rFont val="微软雅黑"/>
        <family val="2"/>
        <charset val="134"/>
      </rPr>
      <t>,"每男每女")</t>
    </r>
  </si>
  <si>
    <r>
      <t>=REPLACE(B122,4,</t>
    </r>
    <r>
      <rPr>
        <sz val="10"/>
        <color indexed="10"/>
        <rFont val="微软雅黑"/>
        <family val="2"/>
        <charset val="134"/>
      </rPr>
      <t>0</t>
    </r>
    <r>
      <rPr>
        <sz val="10"/>
        <color indexed="12"/>
        <rFont val="微软雅黑"/>
        <family val="2"/>
        <charset val="134"/>
      </rPr>
      <t>,"每男每女")</t>
    </r>
  </si>
  <si>
    <r>
      <t>=FIND("函数",B18,</t>
    </r>
    <r>
      <rPr>
        <sz val="10"/>
        <color indexed="10"/>
        <rFont val="微软雅黑"/>
        <family val="2"/>
        <charset val="134"/>
      </rPr>
      <t>1</t>
    </r>
    <r>
      <rPr>
        <sz val="10"/>
        <color indexed="12"/>
        <rFont val="微软雅黑"/>
        <family val="2"/>
        <charset val="134"/>
      </rPr>
      <t>)</t>
    </r>
  </si>
  <si>
    <r>
      <t>=FIND("函数",B19,</t>
    </r>
    <r>
      <rPr>
        <sz val="10"/>
        <color indexed="10"/>
        <rFont val="微软雅黑"/>
        <family val="2"/>
        <charset val="134"/>
      </rPr>
      <t>3</t>
    </r>
    <r>
      <rPr>
        <sz val="10"/>
        <color indexed="12"/>
        <rFont val="微软雅黑"/>
        <family val="2"/>
        <charset val="134"/>
      </rPr>
      <t>)</t>
    </r>
  </si>
  <si>
    <r>
      <t>=FIND("</t>
    </r>
    <r>
      <rPr>
        <sz val="10"/>
        <color indexed="10"/>
        <rFont val="微软雅黑"/>
        <family val="2"/>
        <charset val="134"/>
      </rPr>
      <t>A</t>
    </r>
    <r>
      <rPr>
        <sz val="10"/>
        <color indexed="12"/>
        <rFont val="微软雅黑"/>
        <family val="2"/>
        <charset val="134"/>
      </rPr>
      <t>",B20)</t>
    </r>
  </si>
  <si>
    <r>
      <t>=FIND("</t>
    </r>
    <r>
      <rPr>
        <sz val="10"/>
        <color indexed="10"/>
        <rFont val="微软雅黑"/>
        <family val="2"/>
        <charset val="134"/>
      </rPr>
      <t>a</t>
    </r>
    <r>
      <rPr>
        <sz val="10"/>
        <color indexed="12"/>
        <rFont val="微软雅黑"/>
        <family val="2"/>
        <charset val="134"/>
      </rPr>
      <t>",B21)</t>
    </r>
  </si>
  <si>
    <t>查找内容在第几个字的位置,大小写算相同内容.</t>
  </si>
  <si>
    <r>
      <t>=SEARCH("函数",B218,</t>
    </r>
    <r>
      <rPr>
        <sz val="10"/>
        <color indexed="10"/>
        <rFont val="微软雅黑"/>
        <family val="2"/>
        <charset val="134"/>
      </rPr>
      <t>1</t>
    </r>
    <r>
      <rPr>
        <sz val="10"/>
        <color indexed="12"/>
        <rFont val="微软雅黑"/>
        <family val="2"/>
        <charset val="134"/>
      </rPr>
      <t>)</t>
    </r>
  </si>
  <si>
    <r>
      <t>=SEARCH("函数",B219,</t>
    </r>
    <r>
      <rPr>
        <sz val="10"/>
        <color indexed="10"/>
        <rFont val="微软雅黑"/>
        <family val="2"/>
        <charset val="134"/>
      </rPr>
      <t>3</t>
    </r>
    <r>
      <rPr>
        <sz val="10"/>
        <color indexed="12"/>
        <rFont val="微软雅黑"/>
        <family val="2"/>
        <charset val="134"/>
      </rPr>
      <t>)</t>
    </r>
  </si>
  <si>
    <r>
      <t>=SEARCH("</t>
    </r>
    <r>
      <rPr>
        <sz val="10"/>
        <color indexed="10"/>
        <rFont val="微软雅黑"/>
        <family val="2"/>
        <charset val="134"/>
      </rPr>
      <t>A</t>
    </r>
    <r>
      <rPr>
        <sz val="10"/>
        <color indexed="12"/>
        <rFont val="微软雅黑"/>
        <family val="2"/>
        <charset val="134"/>
      </rPr>
      <t>",B220)</t>
    </r>
  </si>
  <si>
    <r>
      <t>=SEARCH("</t>
    </r>
    <r>
      <rPr>
        <sz val="10"/>
        <color indexed="10"/>
        <rFont val="微软雅黑"/>
        <family val="2"/>
        <charset val="134"/>
      </rPr>
      <t>a</t>
    </r>
    <r>
      <rPr>
        <sz val="10"/>
        <color indexed="12"/>
        <rFont val="微软雅黑"/>
        <family val="2"/>
        <charset val="134"/>
      </rPr>
      <t>",B221)</t>
    </r>
  </si>
  <si>
    <r>
      <t>=LEFT(B17,</t>
    </r>
    <r>
      <rPr>
        <sz val="10"/>
        <color indexed="10"/>
        <rFont val="微软雅黑"/>
        <family val="2"/>
        <charset val="134"/>
      </rPr>
      <t>4</t>
    </r>
    <r>
      <rPr>
        <sz val="10"/>
        <color indexed="12"/>
        <rFont val="微软雅黑"/>
        <family val="2"/>
        <charset val="134"/>
      </rPr>
      <t>)</t>
    </r>
  </si>
  <si>
    <r>
      <t>=LEFT(B18,</t>
    </r>
    <r>
      <rPr>
        <sz val="10"/>
        <color indexed="10"/>
        <rFont val="微软雅黑"/>
        <family val="2"/>
        <charset val="134"/>
      </rPr>
      <t>2</t>
    </r>
    <r>
      <rPr>
        <sz val="10"/>
        <color indexed="12"/>
        <rFont val="微软雅黑"/>
        <family val="2"/>
        <charset val="134"/>
      </rPr>
      <t>)</t>
    </r>
  </si>
  <si>
    <r>
      <t>=LEFT(B19,</t>
    </r>
    <r>
      <rPr>
        <sz val="10"/>
        <color indexed="10"/>
        <rFont val="微软雅黑"/>
        <family val="2"/>
        <charset val="134"/>
      </rPr>
      <t>3</t>
    </r>
    <r>
      <rPr>
        <sz val="10"/>
        <color indexed="12"/>
        <rFont val="微软雅黑"/>
        <family val="2"/>
        <charset val="134"/>
      </rPr>
      <t>)</t>
    </r>
  </si>
  <si>
    <t>RIGHT(目标单元格,从内容的右边开始截取指定的字的个数)</t>
  </si>
  <si>
    <r>
      <t>=RIGHT(B217,</t>
    </r>
    <r>
      <rPr>
        <sz val="10"/>
        <color indexed="10"/>
        <rFont val="微软雅黑"/>
        <family val="2"/>
        <charset val="134"/>
      </rPr>
      <t>5</t>
    </r>
    <r>
      <rPr>
        <sz val="10"/>
        <color indexed="12"/>
        <rFont val="微软雅黑"/>
        <family val="2"/>
        <charset val="134"/>
      </rPr>
      <t>)</t>
    </r>
  </si>
  <si>
    <r>
      <t>=RIGHT(B218,</t>
    </r>
    <r>
      <rPr>
        <sz val="10"/>
        <color indexed="10"/>
        <rFont val="微软雅黑"/>
        <family val="2"/>
        <charset val="134"/>
      </rPr>
      <t>3</t>
    </r>
    <r>
      <rPr>
        <sz val="10"/>
        <color indexed="12"/>
        <rFont val="微软雅黑"/>
        <family val="2"/>
        <charset val="134"/>
      </rPr>
      <t>)</t>
    </r>
  </si>
  <si>
    <r>
      <t>=MID(B417,</t>
    </r>
    <r>
      <rPr>
        <sz val="10"/>
        <color indexed="10"/>
        <rFont val="微软雅黑"/>
        <family val="2"/>
        <charset val="134"/>
      </rPr>
      <t>5,2</t>
    </r>
    <r>
      <rPr>
        <sz val="10"/>
        <color indexed="12"/>
        <rFont val="微软雅黑"/>
        <family val="2"/>
        <charset val="134"/>
      </rPr>
      <t>)</t>
    </r>
  </si>
  <si>
    <r>
      <t>=MID(B418,</t>
    </r>
    <r>
      <rPr>
        <sz val="10"/>
        <color indexed="10"/>
        <rFont val="微软雅黑"/>
        <family val="2"/>
        <charset val="134"/>
      </rPr>
      <t>3,4</t>
    </r>
    <r>
      <rPr>
        <sz val="10"/>
        <color indexed="12"/>
        <rFont val="微软雅黑"/>
        <family val="2"/>
        <charset val="134"/>
      </rPr>
      <t>)</t>
    </r>
  </si>
  <si>
    <r>
      <t>=CONCATENATE(</t>
    </r>
    <r>
      <rPr>
        <sz val="10"/>
        <color indexed="10"/>
        <rFont val="微软雅黑"/>
        <family val="2"/>
        <charset val="134"/>
      </rPr>
      <t>(</t>
    </r>
    <r>
      <rPr>
        <sz val="10"/>
        <color indexed="12"/>
        <rFont val="微软雅黑"/>
        <family val="2"/>
        <charset val="134"/>
      </rPr>
      <t>B317</t>
    </r>
    <r>
      <rPr>
        <sz val="10"/>
        <color indexed="10"/>
        <rFont val="微软雅黑"/>
        <family val="2"/>
        <charset val="134"/>
      </rPr>
      <t>)</t>
    </r>
    <r>
      <rPr>
        <sz val="10"/>
        <color indexed="12"/>
        <rFont val="微软雅黑"/>
        <family val="2"/>
        <charset val="134"/>
      </rPr>
      <t>)</t>
    </r>
  </si>
  <si>
    <r>
      <t>=CONCATENATE(B318,</t>
    </r>
    <r>
      <rPr>
        <sz val="10"/>
        <color indexed="10"/>
        <rFont val="微软雅黑"/>
        <family val="2"/>
        <charset val="134"/>
      </rPr>
      <t>"家居生活馆"</t>
    </r>
    <r>
      <rPr>
        <sz val="10"/>
        <color indexed="12"/>
        <rFont val="微软雅黑"/>
        <family val="2"/>
        <charset val="134"/>
      </rPr>
      <t>)</t>
    </r>
  </si>
  <si>
    <r>
      <t>=CONCATENATE(B319,</t>
    </r>
    <r>
      <rPr>
        <sz val="10"/>
        <color indexed="10"/>
        <rFont val="微软雅黑"/>
        <family val="2"/>
        <charset val="134"/>
      </rPr>
      <t>D319</t>
    </r>
    <r>
      <rPr>
        <sz val="10"/>
        <color indexed="12"/>
        <rFont val="微软雅黑"/>
        <family val="2"/>
        <charset val="134"/>
      </rPr>
      <t>)</t>
    </r>
  </si>
  <si>
    <r>
      <t>=CONCATENATE(</t>
    </r>
    <r>
      <rPr>
        <sz val="10"/>
        <color indexed="10"/>
        <rFont val="微软雅黑"/>
        <family val="2"/>
        <charset val="134"/>
      </rPr>
      <t>"A"</t>
    </r>
    <r>
      <rPr>
        <sz val="10"/>
        <color indexed="12"/>
        <rFont val="微软雅黑"/>
        <family val="2"/>
        <charset val="134"/>
      </rPr>
      <t>,D324)</t>
    </r>
  </si>
  <si>
    <r>
      <t>我们常在高手的公式中看到有这样的句:</t>
    </r>
    <r>
      <rPr>
        <sz val="10"/>
        <color indexed="10"/>
        <rFont val="微软雅黑"/>
        <family val="2"/>
        <charset val="134"/>
      </rPr>
      <t>ROW(1:10)</t>
    </r>
  </si>
  <si>
    <r>
      <t>它代表什么,先输入</t>
    </r>
    <r>
      <rPr>
        <sz val="10"/>
        <color indexed="10"/>
        <rFont val="微软雅黑"/>
        <family val="2"/>
        <charset val="134"/>
      </rPr>
      <t>=ROW(1:10)</t>
    </r>
    <r>
      <rPr>
        <sz val="10"/>
        <rFont val="微软雅黑"/>
        <family val="2"/>
        <charset val="134"/>
      </rPr>
      <t>,然后我们可以用F9键来试一下(F9的意思是强制运算一次).</t>
    </r>
  </si>
  <si>
    <r>
      <t>输入</t>
    </r>
    <r>
      <rPr>
        <sz val="10"/>
        <color indexed="10"/>
        <rFont val="微软雅黑"/>
        <family val="2"/>
        <charset val="134"/>
      </rPr>
      <t>=SUM(ROW(1:10)</t>
    </r>
    <r>
      <rPr>
        <sz val="10"/>
        <rFont val="微软雅黑"/>
        <family val="2"/>
        <charset val="134"/>
      </rPr>
      <t>,然后回车.</t>
    </r>
  </si>
  <si>
    <r>
      <t>再输入</t>
    </r>
    <r>
      <rPr>
        <sz val="10"/>
        <color indexed="10"/>
        <rFont val="微软雅黑"/>
        <family val="2"/>
        <charset val="134"/>
      </rPr>
      <t>=SUM(ROW(1:10)</t>
    </r>
    <r>
      <rPr>
        <sz val="10"/>
        <rFont val="微软雅黑"/>
        <family val="2"/>
        <charset val="134"/>
      </rPr>
      <t>,然后再数组回车.</t>
    </r>
  </si>
  <si>
    <r>
      <t>精确查找是vlookup最基本也是最常用的功能,对于数据量大的查找,其速度比菜单中的查找还快.</t>
    </r>
    <r>
      <rPr>
        <sz val="10"/>
        <color indexed="10"/>
        <rFont val="微软雅黑"/>
        <family val="2"/>
        <charset val="134"/>
      </rPr>
      <t>设置vlookup第四个参数为false或0,即为精确查找</t>
    </r>
    <r>
      <rPr>
        <sz val="10"/>
        <rFont val="微软雅黑"/>
        <family val="2"/>
        <charset val="134"/>
      </rPr>
      <t>.</t>
    </r>
  </si>
  <si>
    <t>用来表示满足条件的逻辑值FALSE(假),返回值为FALSE.</t>
  </si>
  <si>
    <t>判断所有条件中必须全部相同,才认为是相同的.有一个不同,即判断是"不同".</t>
  </si>
  <si>
    <t>判断所有条件中有一个相同,即判断是"相同".</t>
  </si>
  <si>
    <t>对的变成错,错的成对,正的就负,负的变成正.</t>
  </si>
  <si>
    <r>
      <t>=IF(C31&lt;H31,I30,</t>
    </r>
    <r>
      <rPr>
        <sz val="10"/>
        <color indexed="10"/>
        <rFont val="微软雅黑"/>
        <family val="2"/>
        <charset val="134"/>
      </rPr>
      <t>IF(C31&gt;=H31,I31</t>
    </r>
    <r>
      <rPr>
        <sz val="10"/>
        <rFont val="微软雅黑"/>
        <family val="2"/>
        <charset val="134"/>
      </rPr>
      <t>,IF(C31&gt;=H32,I32,IF(C31&gt;=H33,I33,IF(C31&gt;=H34,I34,IF(C31&gt;=H35,I35,I36))))))</t>
    </r>
  </si>
  <si>
    <r>
      <t>如果用SUM来计算的吧,结果只有123,而不是246.原因就是提取后一个是文本型,一个是数值型(单元格在</t>
    </r>
    <r>
      <rPr>
        <sz val="10"/>
        <color indexed="10"/>
        <rFont val="微软雅黑"/>
        <family val="2"/>
        <charset val="134"/>
      </rPr>
      <t>未设置时</t>
    </r>
    <r>
      <rPr>
        <sz val="10"/>
        <rFont val="微软雅黑"/>
        <family val="2"/>
        <charset val="134"/>
      </rPr>
      <t>输入后,内容靠左边的是文本型,靠右边的是数值型).</t>
    </r>
  </si>
  <si>
    <r>
      <t>=IF(LEFT(B90,4)="每男每女",--MID(B90,7,3),</t>
    </r>
    <r>
      <rPr>
        <sz val="10"/>
        <color indexed="10"/>
        <rFont val="微软雅黑"/>
        <family val="2"/>
        <charset val="134"/>
      </rPr>
      <t>IF(LEN(B90)=11,--MID(B90,7,1)</t>
    </r>
    <r>
      <rPr>
        <sz val="10"/>
        <color indexed="12"/>
        <rFont val="微软雅黑"/>
        <family val="2"/>
        <charset val="134"/>
      </rPr>
      <t>,"没有符合"))</t>
    </r>
  </si>
  <si>
    <r>
      <t>=IF(LEFT(B94,4)="每男每女",--MID(B94,7,3),</t>
    </r>
    <r>
      <rPr>
        <sz val="10"/>
        <color indexed="10"/>
        <rFont val="微软雅黑"/>
        <family val="2"/>
        <charset val="134"/>
      </rPr>
      <t>IF(LEN(B94)=11,--MID(B94,7,1)</t>
    </r>
    <r>
      <rPr>
        <sz val="10"/>
        <color indexed="12"/>
        <rFont val="微软雅黑"/>
        <family val="2"/>
        <charset val="134"/>
      </rPr>
      <t>,"没有符合"))</t>
    </r>
  </si>
  <si>
    <t>产生大于或等于0且小于1的随机数.</t>
  </si>
  <si>
    <t>等于直接输入15位的圆周率</t>
  </si>
  <si>
    <r>
      <t>y=x</t>
    </r>
    <r>
      <rPr>
        <vertAlign val="superscript"/>
        <sz val="10"/>
        <rFont val="微软雅黑"/>
        <family val="2"/>
        <charset val="134"/>
      </rPr>
      <t>2</t>
    </r>
  </si>
  <si>
    <r>
      <t>Y=LOG</t>
    </r>
    <r>
      <rPr>
        <vertAlign val="subscript"/>
        <sz val="10"/>
        <rFont val="微软雅黑"/>
        <family val="2"/>
        <charset val="134"/>
      </rPr>
      <t>2</t>
    </r>
    <r>
      <rPr>
        <sz val="10"/>
        <rFont val="微软雅黑"/>
        <family val="2"/>
        <charset val="134"/>
      </rPr>
      <t>X</t>
    </r>
  </si>
  <si>
    <t>计算某个总数中抽出指定个数时可以使用几种"排列"方法</t>
  </si>
  <si>
    <r>
      <t>计算展开(a+b+c）</t>
    </r>
    <r>
      <rPr>
        <vertAlign val="superscript"/>
        <sz val="10"/>
        <rFont val="微软雅黑"/>
        <family val="2"/>
        <charset val="134"/>
      </rPr>
      <t>3</t>
    </r>
    <r>
      <rPr>
        <sz val="10"/>
        <rFont val="微软雅黑"/>
        <family val="2"/>
        <charset val="134"/>
      </rPr>
      <t>多项式时各项所需的系数.在这个问题中，a、b、c的次方数的组合分别为10,如果它们指定为MULTINOMIAL函数的参数的话,就可以计算出各项的系数.</t>
    </r>
  </si>
  <si>
    <t>计算出商的整数部分,不计算未除尽数.</t>
  </si>
  <si>
    <t>计算出未除尽数,不计算商的整数部分.</t>
  </si>
  <si>
    <t>把数字去掉小数点后的值变成整数(结果一定是等于或小于它的整数)</t>
  </si>
  <si>
    <t>计算保留去掉指定的位数后的值(结果一定是等于或小于原数值)</t>
  </si>
  <si>
    <t>关于"位数位置"的说明</t>
  </si>
  <si>
    <t>计算保留去掉指定的位数后的值(结果一定是等于或大于原数值)</t>
  </si>
  <si>
    <r>
      <t xml:space="preserve">第一个特点是,如果在 ref1, ref2,… 中有其他的分类汇总(嵌套分类汇总),将忽略这些嵌套分类汇总,以避免重复计算.也就是在数据区域中有SUBTOTAL获得的结果将被忽略！
第二个特点是,当function_num为从1到11的常数时,SUBTOTAL函数将包括通过"格式"菜单的"行"子菜单下面的"隐藏"命令所隐藏的行中的值.当您要分类汇总列表中的隐藏和非隐藏值时，请使用这些常数。当 function_num 为从 101 到 111 的常数时，SUBTOTAL 函数将忽略通过“格式”菜单的“行”子菜单下面的"隐藏"命令所隐藏的行中的值.当您只分类汇总列表中的非隐藏数字时,使用这些常数.但不论使用什么function_num值,SUBTOTAL函数都会忽略任何不包括在筛选结果中的行.而SUBTOTAL函数不适用于数据行或水平区域.隐藏某一列不影响分类汇总.但是隐藏分类汇总的垂直区域中的某一行就会对其产生影响.
第三个特点是,可以代替上面说的11种函数,当有上面说的两种特点情况时,就可以使用SUBTOTAL来完成.
所以在需要处理隐藏数据相关的应用时,SUBTOTAL是其它函数无法代替的,也是SUBTOTAL最大最重要的特点.
</t>
    </r>
    <r>
      <rPr>
        <sz val="10"/>
        <color indexed="10"/>
        <rFont val="微软雅黑"/>
        <family val="2"/>
        <charset val="134"/>
      </rPr>
      <t>需要处理隐藏数据相关的应用时，SUBTOTAL是其它函数无法代替的，也是SUBTOTAL最大最重要的特点！特别是在筛选求和汇总中，功能显著！</t>
    </r>
  </si>
  <si>
    <t>求平方和;即A^+B^……，即A*A+B*B+C*C……</t>
  </si>
  <si>
    <t>SUM:求和;PRODUCT:计算积;组合的汉语意思是:乘积之和;
最常用为多条件求和,代替SUMIF函数;</t>
  </si>
  <si>
    <r>
      <t>1.数组参数必须具有相同的维数,否则,函数SUMPRODUCT将返回错误值#VALUE!.
2.数据区域引用不能整列引用.如:A:A、B:B.
3.将非数值型的数组元素作为0处理.
4.</t>
    </r>
    <r>
      <rPr>
        <sz val="10"/>
        <color indexed="10"/>
        <rFont val="微软雅黑"/>
        <family val="2"/>
        <charset val="134"/>
      </rPr>
      <t>数据区域不大,可以用sumproduct函数,否则,运算速度会变很慢.</t>
    </r>
  </si>
  <si>
    <t>在所示的员工考试成绩表中,要求计算忽略缺考(单元格为空)后的各科平均分.</t>
  </si>
  <si>
    <t>思路解析:1.要求平均分,即平均值,先得知道总分.     2.找出不包括"空"格的个数,这个数即为人数.    3.总分与上面的的人数相除就是结果.</t>
  </si>
  <si>
    <t>使用条件统计函数COUNTIF返回区域内每个记录出现次数的数组,被1除后在对得到的商求和.</t>
  </si>
  <si>
    <r>
      <t>如果工作表中有三个工作表Sheet1、Sheet2、Sheet3,你在Sheet1表中输入这个公式:</t>
    </r>
    <r>
      <rPr>
        <sz val="10"/>
        <color indexed="10"/>
        <rFont val="微软雅黑"/>
        <family val="2"/>
        <charset val="134"/>
      </rPr>
      <t>=SUM('*'!A1)</t>
    </r>
  </si>
  <si>
    <r>
      <t>公式自动变成</t>
    </r>
    <r>
      <rPr>
        <sz val="10"/>
        <color indexed="10"/>
        <rFont val="微软雅黑"/>
        <family val="2"/>
        <charset val="134"/>
      </rPr>
      <t>=SUM(Sheet2:sheet3!A1)</t>
    </r>
  </si>
  <si>
    <t>从日期中提取出"星期数"</t>
  </si>
  <si>
    <r>
      <t>=TEXT(WEEKDAY(B327),"</t>
    </r>
    <r>
      <rPr>
        <sz val="10"/>
        <color indexed="10"/>
        <rFont val="微软雅黑"/>
        <family val="2"/>
        <charset val="134"/>
      </rPr>
      <t>aaaa</t>
    </r>
    <r>
      <rPr>
        <sz val="10"/>
        <color indexed="12"/>
        <rFont val="微软雅黑"/>
        <family val="2"/>
        <charset val="134"/>
      </rPr>
      <t>")</t>
    </r>
  </si>
  <si>
    <r>
      <t>=TEXT(WEEKDAY(B328),"</t>
    </r>
    <r>
      <rPr>
        <sz val="10"/>
        <color indexed="10"/>
        <rFont val="微软雅黑"/>
        <family val="2"/>
        <charset val="134"/>
      </rPr>
      <t>aaa</t>
    </r>
    <r>
      <rPr>
        <sz val="10"/>
        <color indexed="12"/>
        <rFont val="微软雅黑"/>
        <family val="2"/>
        <charset val="134"/>
      </rPr>
      <t>")</t>
    </r>
  </si>
  <si>
    <r>
      <t>=TEXT(WEEKDAY(B329),"</t>
    </r>
    <r>
      <rPr>
        <sz val="10"/>
        <color indexed="10"/>
        <rFont val="微软雅黑"/>
        <family val="2"/>
        <charset val="134"/>
      </rPr>
      <t>dddd</t>
    </r>
    <r>
      <rPr>
        <sz val="10"/>
        <color indexed="12"/>
        <rFont val="微软雅黑"/>
        <family val="2"/>
        <charset val="134"/>
      </rPr>
      <t>")</t>
    </r>
  </si>
  <si>
    <r>
      <t>=TEXT(WEEKDAY(B330),"</t>
    </r>
    <r>
      <rPr>
        <sz val="10"/>
        <color indexed="10"/>
        <rFont val="微软雅黑"/>
        <family val="2"/>
        <charset val="134"/>
      </rPr>
      <t>ddd</t>
    </r>
    <r>
      <rPr>
        <sz val="10"/>
        <color indexed="12"/>
        <rFont val="微软雅黑"/>
        <family val="2"/>
        <charset val="134"/>
      </rPr>
      <t>")</t>
    </r>
  </si>
  <si>
    <r>
      <t>剩余</t>
    </r>
    <r>
      <rPr>
        <sz val="10"/>
        <color indexed="63"/>
        <rFont val="微软雅黑"/>
        <family val="2"/>
        <charset val="134"/>
      </rPr>
      <t>/日(倒计时）</t>
    </r>
  </si>
  <si>
    <t>合并年、月、日三个数为完整的日期格式.与公式中的"&amp;"相似.</t>
  </si>
  <si>
    <r>
      <t>"":</t>
    </r>
    <r>
      <rPr>
        <sz val="10"/>
        <rFont val="微软雅黑"/>
        <family val="2"/>
        <charset val="134"/>
      </rPr>
      <t xml:space="preserve"> ""代表空,即不显示.</t>
    </r>
  </si>
  <si>
    <t>当数字显示格式为"常规"时,返回值以表示日期的数值(序列号)的形式显示.要转换成日期显示必须通过"设置单元格格式"对话框将数字显示格式转换为日期"格式.</t>
  </si>
  <si>
    <r>
      <t>=EOMONTH(D116,</t>
    </r>
    <r>
      <rPr>
        <sz val="10"/>
        <color indexed="10"/>
        <rFont val="微软雅黑"/>
        <family val="2"/>
        <charset val="134"/>
      </rPr>
      <t>0</t>
    </r>
    <r>
      <rPr>
        <sz val="10"/>
        <color indexed="12"/>
        <rFont val="微软雅黑"/>
        <family val="2"/>
        <charset val="134"/>
      </rPr>
      <t>)</t>
    </r>
  </si>
  <si>
    <r>
      <t>=EOMONTH(D117,</t>
    </r>
    <r>
      <rPr>
        <sz val="10"/>
        <color indexed="10"/>
        <rFont val="微软雅黑"/>
        <family val="2"/>
        <charset val="134"/>
      </rPr>
      <t>2</t>
    </r>
    <r>
      <rPr>
        <sz val="10"/>
        <color indexed="12"/>
        <rFont val="微软雅黑"/>
        <family val="2"/>
        <charset val="134"/>
      </rPr>
      <t>)</t>
    </r>
  </si>
  <si>
    <r>
      <t>=EOMONTH(D118,</t>
    </r>
    <r>
      <rPr>
        <sz val="10"/>
        <color indexed="10"/>
        <rFont val="微软雅黑"/>
        <family val="2"/>
        <charset val="134"/>
      </rPr>
      <t>3</t>
    </r>
    <r>
      <rPr>
        <sz val="10"/>
        <color indexed="12"/>
        <rFont val="微软雅黑"/>
        <family val="2"/>
        <charset val="134"/>
      </rPr>
      <t>)</t>
    </r>
  </si>
  <si>
    <t>从已知的一段时间内,求年数、月数、天数.</t>
  </si>
  <si>
    <t>y、m、d、ym、yd、md</t>
  </si>
  <si>
    <r>
      <t>=DATEDIF(C416,D416,"</t>
    </r>
    <r>
      <rPr>
        <sz val="10"/>
        <color indexed="10"/>
        <rFont val="微软雅黑"/>
        <family val="2"/>
        <charset val="134"/>
      </rPr>
      <t>Y</t>
    </r>
    <r>
      <rPr>
        <sz val="10"/>
        <color indexed="12"/>
        <rFont val="微软雅黑"/>
        <family val="2"/>
        <charset val="134"/>
      </rPr>
      <t>")</t>
    </r>
  </si>
  <si>
    <r>
      <t>=DATEDIF(C416,D416,"</t>
    </r>
    <r>
      <rPr>
        <sz val="10"/>
        <color indexed="10"/>
        <rFont val="微软雅黑"/>
        <family val="2"/>
        <charset val="134"/>
      </rPr>
      <t>YM</t>
    </r>
    <r>
      <rPr>
        <sz val="10"/>
        <color indexed="12"/>
        <rFont val="微软雅黑"/>
        <family val="2"/>
        <charset val="134"/>
      </rPr>
      <t>")</t>
    </r>
  </si>
  <si>
    <r>
      <t>=DATEDIF(C416,D416,"</t>
    </r>
    <r>
      <rPr>
        <sz val="10"/>
        <color indexed="10"/>
        <rFont val="微软雅黑"/>
        <family val="2"/>
        <charset val="134"/>
      </rPr>
      <t>MD</t>
    </r>
    <r>
      <rPr>
        <sz val="10"/>
        <color indexed="12"/>
        <rFont val="微软雅黑"/>
        <family val="2"/>
        <charset val="134"/>
      </rPr>
      <t>")</t>
    </r>
  </si>
  <si>
    <t>返回每个会计期间的折旧值.此函数是为法国会计系统提供的</t>
  </si>
  <si>
    <r>
      <t>返回第1种修正Bessel函数值K</t>
    </r>
    <r>
      <rPr>
        <vertAlign val="subscript"/>
        <sz val="12"/>
        <rFont val="微软雅黑"/>
        <family val="2"/>
        <charset val="134"/>
      </rPr>
      <t>n</t>
    </r>
    <r>
      <rPr>
        <sz val="12"/>
        <rFont val="微软雅黑"/>
        <family val="2"/>
        <charset val="134"/>
      </rPr>
      <t>(x)</t>
    </r>
  </si>
  <si>
    <r>
      <t>返回第2种修正Bessel函数值K</t>
    </r>
    <r>
      <rPr>
        <vertAlign val="subscript"/>
        <sz val="12"/>
        <rFont val="微软雅黑"/>
        <family val="2"/>
        <charset val="134"/>
      </rPr>
      <t>n</t>
    </r>
    <r>
      <rPr>
        <sz val="12"/>
        <rFont val="微软雅黑"/>
        <family val="2"/>
        <charset val="134"/>
      </rPr>
      <t>(x)</t>
    </r>
  </si>
  <si>
    <t>返回γ 2分布的单尾概率</t>
  </si>
  <si>
    <t>返回 γ2分布单尾概率的反函数</t>
  </si>
  <si>
    <t>返回区间中所含值的个数(频度)</t>
  </si>
  <si>
    <t>取得已登陆有DLL有寄存器ID（宏工作簿专用）</t>
  </si>
  <si>
    <t>取得已登陆有DLL有寄存器ID</t>
  </si>
  <si>
    <t>A06011</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</si>
</sst>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8" formatCode="&quot;¥&quot;#,##0.00;[Red]&quot;¥&quot;\-#,##0.00"/>
    <numFmt numFmtId="24" formatCode="\$#,##0_);[Red]\(\$#,##0\)"/>
    <numFmt numFmtId="176" formatCode="0.000%"/>
    <numFmt numFmtId="177" formatCode="0.0000%"/>
    <numFmt numFmtId="178" formatCode="0.00_ "/>
    <numFmt numFmtId="179" formatCode="0.0000_ "/>
    <numFmt numFmtId="180" formatCode="0.000000_ "/>
    <numFmt numFmtId="181" formatCode="0.00000000000000_ "/>
    <numFmt numFmtId="182" formatCode="yyyy&quot;年&quot;m&quot;月&quot;;@"/>
    <numFmt numFmtId="183" formatCode="m/d;@"/>
  </numFmts>
  <fonts count="62">
    <font>
      <sz val="12"/>
      <name val="宋体"/>
      <charset val="134"/>
    </font>
    <font>
      <u/>
      <sz val="12"/>
      <color indexed="12"/>
      <name val="宋体"/>
      <family val="3"/>
      <charset val="134"/>
    </font>
    <font>
      <sz val="9"/>
      <name val="宋体"/>
      <family val="3"/>
      <charset val="134"/>
    </font>
    <font>
      <sz val="12"/>
      <name val="宋体"/>
      <family val="3"/>
      <charset val="134"/>
    </font>
    <font>
      <b/>
      <sz val="36"/>
      <color indexed="10"/>
      <name val="微软雅黑"/>
      <family val="2"/>
      <charset val="134"/>
    </font>
    <font>
      <sz val="12"/>
      <name val="微软雅黑"/>
      <family val="2"/>
      <charset val="134"/>
    </font>
    <font>
      <b/>
      <sz val="24"/>
      <color indexed="12"/>
      <name val="微软雅黑"/>
      <family val="2"/>
      <charset val="134"/>
    </font>
    <font>
      <b/>
      <sz val="24"/>
      <name val="微软雅黑"/>
      <family val="2"/>
      <charset val="134"/>
    </font>
    <font>
      <b/>
      <sz val="16"/>
      <color indexed="23"/>
      <name val="微软雅黑"/>
      <family val="2"/>
      <charset val="134"/>
    </font>
    <font>
      <sz val="18"/>
      <name val="微软雅黑"/>
      <family val="2"/>
      <charset val="134"/>
    </font>
    <font>
      <sz val="16"/>
      <color indexed="53"/>
      <name val="微软雅黑"/>
      <family val="2"/>
      <charset val="134"/>
    </font>
    <font>
      <b/>
      <sz val="16"/>
      <name val="微软雅黑"/>
      <family val="2"/>
      <charset val="134"/>
    </font>
    <font>
      <b/>
      <sz val="18"/>
      <name val="微软雅黑"/>
      <family val="2"/>
      <charset val="134"/>
    </font>
    <font>
      <b/>
      <sz val="12"/>
      <name val="微软雅黑"/>
      <family val="2"/>
      <charset val="134"/>
    </font>
    <font>
      <b/>
      <sz val="16"/>
      <color theme="0"/>
      <name val="微软雅黑"/>
      <family val="2"/>
      <charset val="134"/>
    </font>
    <font>
      <sz val="11"/>
      <color theme="0"/>
      <name val="微软雅黑"/>
      <family val="2"/>
      <charset val="134"/>
    </font>
    <font>
      <sz val="18"/>
      <color indexed="23"/>
      <name val="微软雅黑"/>
      <family val="2"/>
      <charset val="134"/>
    </font>
    <font>
      <sz val="12"/>
      <color indexed="23"/>
      <name val="微软雅黑"/>
      <family val="2"/>
      <charset val="134"/>
    </font>
    <font>
      <b/>
      <sz val="18"/>
      <color indexed="12"/>
      <name val="微软雅黑"/>
      <family val="2"/>
      <charset val="134"/>
    </font>
    <font>
      <u/>
      <sz val="12"/>
      <color indexed="12"/>
      <name val="微软雅黑"/>
      <family val="2"/>
      <charset val="134"/>
    </font>
    <font>
      <sz val="16"/>
      <color indexed="13"/>
      <name val="微软雅黑"/>
      <family val="2"/>
      <charset val="134"/>
    </font>
    <font>
      <sz val="11"/>
      <color indexed="12"/>
      <name val="微软雅黑"/>
      <family val="2"/>
      <charset val="134"/>
    </font>
    <font>
      <sz val="14"/>
      <name val="微软雅黑"/>
      <family val="2"/>
      <charset val="134"/>
    </font>
    <font>
      <sz val="16"/>
      <name val="微软雅黑"/>
      <family val="2"/>
      <charset val="134"/>
    </font>
    <font>
      <sz val="10"/>
      <color indexed="10"/>
      <name val="微软雅黑"/>
      <family val="2"/>
      <charset val="134"/>
    </font>
    <font>
      <sz val="14"/>
      <color indexed="53"/>
      <name val="微软雅黑"/>
      <family val="2"/>
      <charset val="134"/>
    </font>
    <font>
      <sz val="11"/>
      <name val="微软雅黑"/>
      <family val="2"/>
      <charset val="134"/>
    </font>
    <font>
      <u/>
      <sz val="14"/>
      <color indexed="12"/>
      <name val="微软雅黑"/>
      <family val="2"/>
      <charset val="134"/>
    </font>
    <font>
      <sz val="10"/>
      <name val="微软雅黑"/>
      <family val="2"/>
      <charset val="134"/>
    </font>
    <font>
      <sz val="16"/>
      <color indexed="52"/>
      <name val="微软雅黑"/>
      <family val="2"/>
      <charset val="134"/>
    </font>
    <font>
      <u/>
      <sz val="12"/>
      <color indexed="20"/>
      <name val="微软雅黑"/>
      <family val="2"/>
      <charset val="134"/>
    </font>
    <font>
      <vertAlign val="subscript"/>
      <sz val="12"/>
      <name val="微软雅黑"/>
      <family val="2"/>
      <charset val="134"/>
    </font>
    <font>
      <b/>
      <sz val="16"/>
      <color indexed="13"/>
      <name val="微软雅黑"/>
      <family val="2"/>
      <charset val="134"/>
    </font>
    <font>
      <sz val="22"/>
      <color indexed="10"/>
      <name val="微软雅黑"/>
      <family val="2"/>
      <charset val="134"/>
    </font>
    <font>
      <b/>
      <u/>
      <sz val="12"/>
      <color indexed="53"/>
      <name val="微软雅黑"/>
      <family val="2"/>
      <charset val="134"/>
    </font>
    <font>
      <b/>
      <sz val="16"/>
      <color indexed="10"/>
      <name val="微软雅黑"/>
      <family val="2"/>
      <charset val="134"/>
    </font>
    <font>
      <b/>
      <sz val="16"/>
      <color indexed="12"/>
      <name val="微软雅黑"/>
      <family val="2"/>
      <charset val="134"/>
    </font>
    <font>
      <sz val="12"/>
      <color indexed="12"/>
      <name val="微软雅黑"/>
      <family val="2"/>
      <charset val="134"/>
    </font>
    <font>
      <b/>
      <sz val="12"/>
      <color indexed="12"/>
      <name val="微软雅黑"/>
      <family val="2"/>
      <charset val="134"/>
    </font>
    <font>
      <sz val="10"/>
      <color indexed="12"/>
      <name val="微软雅黑"/>
      <family val="2"/>
      <charset val="134"/>
    </font>
    <font>
      <sz val="9"/>
      <name val="微软雅黑"/>
      <family val="2"/>
      <charset val="134"/>
    </font>
    <font>
      <b/>
      <sz val="10"/>
      <name val="微软雅黑"/>
      <family val="2"/>
      <charset val="134"/>
    </font>
    <font>
      <b/>
      <sz val="12"/>
      <color indexed="10"/>
      <name val="微软雅黑"/>
      <family val="2"/>
      <charset val="134"/>
    </font>
    <font>
      <sz val="8"/>
      <name val="微软雅黑"/>
      <family val="2"/>
      <charset val="134"/>
    </font>
    <font>
      <i/>
      <sz val="10"/>
      <name val="微软雅黑"/>
      <family val="2"/>
      <charset val="134"/>
    </font>
    <font>
      <vertAlign val="subscript"/>
      <sz val="9"/>
      <name val="微软雅黑"/>
      <family val="2"/>
      <charset val="134"/>
    </font>
    <font>
      <vertAlign val="superscript"/>
      <sz val="10"/>
      <name val="微软雅黑"/>
      <family val="2"/>
      <charset val="134"/>
    </font>
    <font>
      <sz val="9"/>
      <color indexed="12"/>
      <name val="微软雅黑"/>
      <family val="2"/>
      <charset val="134"/>
    </font>
    <font>
      <b/>
      <sz val="10"/>
      <color indexed="10"/>
      <name val="微软雅黑"/>
      <family val="2"/>
      <charset val="134"/>
    </font>
    <font>
      <b/>
      <i/>
      <u/>
      <sz val="12"/>
      <color indexed="10"/>
      <name val="微软雅黑"/>
      <family val="2"/>
      <charset val="134"/>
    </font>
    <font>
      <u/>
      <sz val="10"/>
      <color indexed="12"/>
      <name val="微软雅黑"/>
      <family val="2"/>
      <charset val="134"/>
    </font>
    <font>
      <sz val="20"/>
      <name val="微软雅黑"/>
      <family val="2"/>
      <charset val="134"/>
    </font>
    <font>
      <vertAlign val="subscript"/>
      <sz val="10"/>
      <name val="微软雅黑"/>
      <family val="2"/>
      <charset val="134"/>
    </font>
    <font>
      <b/>
      <sz val="18"/>
      <color indexed="10"/>
      <name val="微软雅黑"/>
      <family val="2"/>
      <charset val="134"/>
    </font>
    <font>
      <sz val="8.15"/>
      <color indexed="23"/>
      <name val="微软雅黑"/>
      <family val="2"/>
      <charset val="134"/>
    </font>
    <font>
      <sz val="10"/>
      <color indexed="8"/>
      <name val="微软雅黑"/>
      <family val="2"/>
      <charset val="134"/>
    </font>
    <font>
      <sz val="10"/>
      <color indexed="63"/>
      <name val="微软雅黑"/>
      <family val="2"/>
      <charset val="134"/>
    </font>
    <font>
      <sz val="48"/>
      <color indexed="10"/>
      <name val="微软雅黑"/>
      <family val="2"/>
      <charset val="134"/>
    </font>
    <font>
      <sz val="36"/>
      <color indexed="10"/>
      <name val="微软雅黑"/>
      <family val="2"/>
      <charset val="134"/>
    </font>
    <font>
      <sz val="16"/>
      <color indexed="10"/>
      <name val="微软雅黑"/>
      <family val="2"/>
      <charset val="134"/>
    </font>
    <font>
      <b/>
      <sz val="12"/>
      <color indexed="55"/>
      <name val="微软雅黑"/>
      <family val="2"/>
      <charset val="134"/>
    </font>
    <font>
      <sz val="12"/>
      <color indexed="55"/>
      <name val="微软雅黑"/>
      <family val="2"/>
      <charset val="134"/>
    </font>
  </fonts>
  <fills count="13">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31"/>
        <bgColor indexed="64"/>
      </patternFill>
    </fill>
    <fill>
      <patternFill patternType="solid">
        <fgColor indexed="55"/>
        <bgColor indexed="64"/>
      </patternFill>
    </fill>
    <fill>
      <patternFill patternType="solid">
        <fgColor theme="9" tint="-0.249977111117893"/>
        <bgColor indexed="64"/>
      </patternFill>
    </fill>
  </fills>
  <borders count="100">
    <border>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double">
        <color indexed="53"/>
      </top>
      <bottom/>
      <diagonal/>
    </border>
    <border>
      <left style="thin">
        <color indexed="64"/>
      </left>
      <right/>
      <top/>
      <bottom/>
      <diagonal/>
    </border>
    <border>
      <left style="thin">
        <color indexed="64"/>
      </left>
      <right/>
      <top/>
      <bottom style="thin">
        <color indexed="64"/>
      </bottom>
      <diagonal/>
    </border>
    <border>
      <left/>
      <right style="hair">
        <color indexed="64"/>
      </right>
      <top/>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mediumDashDot">
        <color indexed="52"/>
      </top>
      <bottom style="thin">
        <color indexed="64"/>
      </bottom>
      <diagonal/>
    </border>
    <border>
      <left/>
      <right/>
      <top style="thin">
        <color indexed="64"/>
      </top>
      <bottom/>
      <diagonal/>
    </border>
    <border>
      <left/>
      <right/>
      <top style="medium">
        <color indexed="9"/>
      </top>
      <bottom style="medium">
        <color indexed="64"/>
      </bottom>
      <diagonal/>
    </border>
    <border>
      <left/>
      <right/>
      <top style="medium">
        <color indexed="9"/>
      </top>
      <bottom/>
      <diagonal/>
    </border>
    <border>
      <left/>
      <right style="thin">
        <color indexed="64"/>
      </right>
      <top style="thin">
        <color indexed="9"/>
      </top>
      <bottom/>
      <diagonal/>
    </border>
    <border>
      <left/>
      <right/>
      <top style="medium">
        <color indexed="64"/>
      </top>
      <bottom style="medium">
        <color indexed="9"/>
      </bottom>
      <diagonal/>
    </border>
    <border>
      <left/>
      <right style="thin">
        <color indexed="64"/>
      </right>
      <top style="medium">
        <color indexed="9"/>
      </top>
      <bottom/>
      <diagonal/>
    </border>
    <border>
      <left/>
      <right/>
      <top style="medium">
        <color indexed="64"/>
      </top>
      <bottom/>
      <diagonal/>
    </border>
    <border>
      <left/>
      <right/>
      <top style="mediumDashDot">
        <color indexed="52"/>
      </top>
      <bottom style="mediumDashDot">
        <color indexed="52"/>
      </bottom>
      <diagonal/>
    </border>
    <border>
      <left/>
      <right/>
      <top/>
      <bottom style="medium">
        <color indexed="64"/>
      </bottom>
      <diagonal/>
    </border>
    <border>
      <left style="double">
        <color indexed="9"/>
      </left>
      <right/>
      <top style="thick">
        <color indexed="64"/>
      </top>
      <bottom/>
      <diagonal/>
    </border>
    <border>
      <left/>
      <right/>
      <top style="medium">
        <color indexed="9"/>
      </top>
      <bottom style="thick">
        <color indexed="64"/>
      </bottom>
      <diagonal/>
    </border>
    <border>
      <left/>
      <right style="medium">
        <color indexed="22"/>
      </right>
      <top style="medium">
        <color indexed="9"/>
      </top>
      <bottom style="medium">
        <color indexed="64"/>
      </bottom>
      <diagonal/>
    </border>
    <border>
      <left/>
      <right style="medium">
        <color indexed="9"/>
      </right>
      <top style="medium">
        <color indexed="9"/>
      </top>
      <bottom/>
      <diagonal/>
    </border>
    <border>
      <left style="medium">
        <color indexed="9"/>
      </left>
      <right/>
      <top style="medium">
        <color indexed="9"/>
      </top>
      <bottom style="thick">
        <color indexed="64"/>
      </bottom>
      <diagonal/>
    </border>
    <border>
      <left/>
      <right/>
      <top style="medium">
        <color indexed="9"/>
      </top>
      <bottom style="thick">
        <color indexed="63"/>
      </bottom>
      <diagonal/>
    </border>
    <border>
      <left style="thin">
        <color indexed="9"/>
      </left>
      <right/>
      <top style="medium">
        <color indexed="9"/>
      </top>
      <bottom style="thick">
        <color indexed="63"/>
      </bottom>
      <diagonal/>
    </border>
    <border>
      <left/>
      <right/>
      <top style="thick">
        <color indexed="64"/>
      </top>
      <bottom style="medium">
        <color indexed="9"/>
      </bottom>
      <diagonal/>
    </border>
    <border>
      <left style="thin">
        <color indexed="9"/>
      </left>
      <right/>
      <top style="medium">
        <color indexed="9"/>
      </top>
      <bottom/>
      <diagonal/>
    </border>
    <border>
      <left/>
      <right style="medium">
        <color indexed="22"/>
      </right>
      <top style="medium">
        <color indexed="63"/>
      </top>
      <bottom style="medium">
        <color indexed="9"/>
      </bottom>
      <diagonal/>
    </border>
    <border>
      <left style="thin">
        <color indexed="9"/>
      </left>
      <right/>
      <top/>
      <bottom style="thick">
        <color indexed="63"/>
      </bottom>
      <diagonal/>
    </border>
    <border>
      <left/>
      <right/>
      <top/>
      <bottom style="thick">
        <color indexed="64"/>
      </bottom>
      <diagonal/>
    </border>
    <border>
      <left style="medium">
        <color indexed="22"/>
      </left>
      <right/>
      <top style="thick">
        <color indexed="64"/>
      </top>
      <bottom style="medium">
        <color indexed="9"/>
      </bottom>
      <diagonal/>
    </border>
    <border>
      <left/>
      <right style="medium">
        <color indexed="22"/>
      </right>
      <top style="thick">
        <color indexed="64"/>
      </top>
      <bottom style="medium">
        <color indexed="9"/>
      </bottom>
      <diagonal/>
    </border>
    <border>
      <left style="medium">
        <color indexed="22"/>
      </left>
      <right/>
      <top style="medium">
        <color indexed="9"/>
      </top>
      <bottom style="thick">
        <color indexed="64"/>
      </bottom>
      <diagonal/>
    </border>
    <border>
      <left/>
      <right style="medium">
        <color indexed="22"/>
      </right>
      <top style="medium">
        <color indexed="9"/>
      </top>
      <bottom style="thick">
        <color indexed="64"/>
      </bottom>
      <diagonal/>
    </border>
    <border>
      <left style="mediumDashDot">
        <color indexed="52"/>
      </left>
      <right/>
      <top style="mediumDashDot">
        <color indexed="52"/>
      </top>
      <bottom/>
      <diagonal/>
    </border>
    <border>
      <left/>
      <right/>
      <top style="mediumDashDot">
        <color indexed="52"/>
      </top>
      <bottom/>
      <diagonal/>
    </border>
    <border>
      <left/>
      <right/>
      <top/>
      <bottom style="medium">
        <color indexed="9"/>
      </bottom>
      <diagonal/>
    </border>
    <border>
      <left/>
      <right/>
      <top style="thin">
        <color indexed="64"/>
      </top>
      <bottom style="medium">
        <color indexed="9"/>
      </bottom>
      <diagonal/>
    </border>
    <border>
      <left style="mediumDashDot">
        <color indexed="52"/>
      </left>
      <right/>
      <top style="mediumDashDot">
        <color indexed="52"/>
      </top>
      <bottom style="mediumDashDot">
        <color indexed="52"/>
      </bottom>
      <diagonal/>
    </border>
    <border>
      <left/>
      <right style="mediumDashDot">
        <color indexed="52"/>
      </right>
      <top style="mediumDashDot">
        <color indexed="52"/>
      </top>
      <bottom style="mediumDashDot">
        <color indexed="52"/>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indexed="53"/>
      </bottom>
      <diagonal/>
    </border>
    <border>
      <left/>
      <right style="thin">
        <color indexed="53"/>
      </right>
      <top/>
      <bottom style="thin">
        <color indexed="5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diagonal/>
    </border>
    <border>
      <left/>
      <right style="hair">
        <color indexed="64"/>
      </right>
      <top style="thin">
        <color indexed="64"/>
      </top>
      <bottom style="hair">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47"/>
      </left>
      <right/>
      <top style="thin">
        <color indexed="47"/>
      </top>
      <bottom style="thin">
        <color indexed="53"/>
      </bottom>
      <diagonal/>
    </border>
    <border>
      <left/>
      <right/>
      <top style="thin">
        <color indexed="47"/>
      </top>
      <bottom style="thin">
        <color indexed="53"/>
      </bottom>
      <diagonal/>
    </border>
    <border>
      <left/>
      <right style="thin">
        <color indexed="53"/>
      </right>
      <top style="thin">
        <color indexed="47"/>
      </top>
      <bottom style="thin">
        <color indexed="53"/>
      </bottom>
      <diagonal/>
    </border>
    <border>
      <left/>
      <right/>
      <top style="thin">
        <color indexed="53"/>
      </top>
      <bottom/>
      <diagonal/>
    </border>
  </borders>
  <cellStyleXfs count="3">
    <xf numFmtId="0" fontId="0" fillId="0" borderId="0"/>
    <xf numFmtId="0" fontId="3" fillId="0" borderId="0"/>
    <xf numFmtId="0" fontId="1" fillId="0" borderId="0" applyNumberFormat="0" applyFill="0" applyBorder="0" applyAlignment="0" applyProtection="0">
      <alignment vertical="top"/>
      <protection locked="0"/>
    </xf>
  </cellStyleXfs>
  <cellXfs count="681">
    <xf numFmtId="0" fontId="0" fillId="0" borderId="0" xfId="0" applyAlignment="1">
      <alignment vertical="center"/>
    </xf>
    <xf numFmtId="0" fontId="4" fillId="9" borderId="49" xfId="0" applyFont="1" applyFill="1" applyBorder="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5" fillId="0" borderId="0" xfId="0" applyFont="1" applyAlignment="1">
      <alignment vertical="center"/>
    </xf>
    <xf numFmtId="0" fontId="6" fillId="10" borderId="44" xfId="0" applyFont="1" applyFill="1" applyBorder="1" applyAlignment="1">
      <alignment horizontal="center" vertical="center"/>
    </xf>
    <xf numFmtId="0" fontId="7" fillId="10" borderId="44" xfId="0" applyFont="1" applyFill="1" applyBorder="1" applyAlignment="1">
      <alignment horizontal="center" vertical="center"/>
    </xf>
    <xf numFmtId="0" fontId="5" fillId="0" borderId="50" xfId="0" applyFont="1" applyBorder="1" applyAlignment="1">
      <alignment vertical="center"/>
    </xf>
    <xf numFmtId="0" fontId="7" fillId="10" borderId="50" xfId="0" applyFont="1" applyFill="1" applyBorder="1" applyAlignment="1">
      <alignment horizontal="center" vertical="center"/>
    </xf>
    <xf numFmtId="0" fontId="8" fillId="3" borderId="51" xfId="0" applyFont="1" applyFill="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4" borderId="46" xfId="0" applyFont="1" applyFill="1" applyBorder="1" applyAlignment="1">
      <alignment vertical="center"/>
    </xf>
    <xf numFmtId="0" fontId="10" fillId="4" borderId="46" xfId="0" applyFont="1" applyFill="1" applyBorder="1" applyAlignment="1">
      <alignment horizontal="center" vertical="center"/>
    </xf>
    <xf numFmtId="0" fontId="11" fillId="10" borderId="0" xfId="0" applyFont="1" applyFill="1" applyAlignment="1">
      <alignment vertical="center"/>
    </xf>
    <xf numFmtId="0" fontId="11" fillId="10" borderId="0" xfId="0" applyFont="1" applyFill="1" applyAlignment="1">
      <alignment horizontal="center" vertical="center"/>
    </xf>
    <xf numFmtId="0" fontId="11" fillId="10" borderId="0" xfId="2" applyFont="1" applyFill="1" applyBorder="1" applyAlignment="1" applyProtection="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4" fillId="12" borderId="46" xfId="0" applyFont="1" applyFill="1" applyBorder="1" applyAlignment="1">
      <alignment horizontal="center" vertical="center"/>
    </xf>
    <xf numFmtId="0" fontId="15" fillId="12" borderId="46" xfId="0" applyFont="1" applyFill="1" applyBorder="1" applyAlignment="1">
      <alignment horizontal="center" vertical="center"/>
    </xf>
    <xf numFmtId="0" fontId="16" fillId="0" borderId="0" xfId="0" applyFont="1" applyAlignment="1">
      <alignment horizontal="center" vertical="center"/>
    </xf>
    <xf numFmtId="0" fontId="16" fillId="0" borderId="0" xfId="0" applyFont="1" applyAlignment="1">
      <alignment horizontal="left" vertical="center"/>
    </xf>
    <xf numFmtId="0" fontId="17" fillId="0" borderId="0" xfId="0" applyFont="1" applyAlignment="1">
      <alignment vertical="center"/>
    </xf>
    <xf numFmtId="0" fontId="10" fillId="0" borderId="0" xfId="0" applyFont="1" applyAlignment="1">
      <alignment vertical="center"/>
    </xf>
    <xf numFmtId="0" fontId="11" fillId="10" borderId="43" xfId="0" applyFont="1" applyFill="1" applyBorder="1" applyAlignment="1">
      <alignment horizontal="center" vertical="center"/>
    </xf>
    <xf numFmtId="0" fontId="11" fillId="10" borderId="43" xfId="0" applyFont="1" applyFill="1" applyBorder="1" applyAlignment="1">
      <alignment vertical="center"/>
    </xf>
    <xf numFmtId="0" fontId="18" fillId="10" borderId="43" xfId="0" applyFont="1" applyFill="1" applyBorder="1" applyAlignment="1">
      <alignment vertical="center"/>
    </xf>
    <xf numFmtId="0" fontId="18" fillId="10" borderId="43" xfId="0" applyFont="1" applyFill="1" applyBorder="1" applyAlignment="1">
      <alignment horizontal="center" vertical="center"/>
    </xf>
    <xf numFmtId="0" fontId="19" fillId="11" borderId="53" xfId="2" applyFont="1" applyFill="1" applyBorder="1" applyAlignment="1" applyProtection="1">
      <alignment horizontal="center" vertical="center"/>
    </xf>
    <xf numFmtId="0" fontId="21" fillId="11" borderId="52" xfId="0" applyFont="1" applyFill="1" applyBorder="1" applyAlignment="1">
      <alignment horizontal="center" vertical="center"/>
    </xf>
    <xf numFmtId="0" fontId="5" fillId="11" borderId="52" xfId="0" applyFont="1" applyFill="1" applyBorder="1" applyAlignment="1">
      <alignment vertical="center"/>
    </xf>
    <xf numFmtId="0" fontId="5" fillId="11" borderId="0" xfId="0" applyFont="1" applyFill="1" applyAlignment="1">
      <alignment vertical="center"/>
    </xf>
    <xf numFmtId="0" fontId="5" fillId="4" borderId="54" xfId="0" applyFont="1" applyFill="1" applyBorder="1" applyAlignment="1">
      <alignment horizontal="center" vertical="center"/>
    </xf>
    <xf numFmtId="0" fontId="22" fillId="10" borderId="55" xfId="0" applyFont="1" applyFill="1" applyBorder="1" applyAlignment="1">
      <alignment vertical="center"/>
    </xf>
    <xf numFmtId="0" fontId="5" fillId="10" borderId="56" xfId="0" applyFont="1" applyFill="1" applyBorder="1" applyAlignment="1">
      <alignment vertical="center"/>
    </xf>
    <xf numFmtId="0" fontId="5" fillId="10" borderId="56" xfId="0" applyFont="1" applyFill="1" applyBorder="1" applyAlignment="1">
      <alignment horizontal="center" vertical="center"/>
    </xf>
    <xf numFmtId="0" fontId="23" fillId="10" borderId="56" xfId="0" applyFont="1" applyFill="1" applyBorder="1" applyAlignment="1">
      <alignment horizontal="right" vertical="center"/>
    </xf>
    <xf numFmtId="0" fontId="5" fillId="3" borderId="56" xfId="0" applyFont="1" applyFill="1" applyBorder="1" applyAlignment="1">
      <alignment vertical="center"/>
    </xf>
    <xf numFmtId="0" fontId="24" fillId="4" borderId="0" xfId="0" applyFont="1" applyFill="1" applyAlignment="1">
      <alignment vertical="center"/>
    </xf>
    <xf numFmtId="0" fontId="25" fillId="4" borderId="0" xfId="0" applyFont="1" applyFill="1" applyAlignment="1">
      <alignment vertical="center"/>
    </xf>
    <xf numFmtId="0" fontId="5" fillId="4" borderId="0" xfId="0" applyFont="1" applyFill="1" applyAlignment="1">
      <alignment vertical="center"/>
    </xf>
    <xf numFmtId="0" fontId="19" fillId="4" borderId="0" xfId="2" applyFont="1" applyFill="1" applyAlignment="1" applyProtection="1">
      <alignment horizontal="center" vertical="center"/>
    </xf>
    <xf numFmtId="0" fontId="5" fillId="3" borderId="0" xfId="0" applyFont="1" applyFill="1" applyAlignment="1">
      <alignment vertical="center"/>
    </xf>
    <xf numFmtId="0" fontId="25" fillId="10" borderId="57" xfId="0" applyFont="1" applyFill="1" applyBorder="1" applyAlignment="1">
      <alignment vertical="center"/>
    </xf>
    <xf numFmtId="0" fontId="19" fillId="10" borderId="56" xfId="2" applyFont="1" applyFill="1" applyBorder="1" applyAlignment="1" applyProtection="1">
      <alignment horizontal="center" vertical="center"/>
    </xf>
    <xf numFmtId="0" fontId="26" fillId="4" borderId="0" xfId="0" applyFont="1" applyFill="1" applyAlignment="1">
      <alignment vertical="center"/>
    </xf>
    <xf numFmtId="0" fontId="22" fillId="10" borderId="57" xfId="0" applyFont="1" applyFill="1" applyBorder="1" applyAlignment="1">
      <alignment vertical="center"/>
    </xf>
    <xf numFmtId="0" fontId="22" fillId="4" borderId="0" xfId="0" applyFont="1" applyFill="1" applyAlignment="1">
      <alignment vertical="center"/>
    </xf>
    <xf numFmtId="0" fontId="5" fillId="10" borderId="52" xfId="0" applyFont="1" applyFill="1" applyBorder="1" applyAlignment="1">
      <alignment vertical="center"/>
    </xf>
    <xf numFmtId="0" fontId="5" fillId="10" borderId="52" xfId="0" applyFont="1" applyFill="1" applyBorder="1" applyAlignment="1">
      <alignment horizontal="center" vertical="center"/>
    </xf>
    <xf numFmtId="0" fontId="5" fillId="3" borderId="52" xfId="0" applyFont="1" applyFill="1" applyBorder="1" applyAlignment="1">
      <alignment vertical="center"/>
    </xf>
    <xf numFmtId="0" fontId="19" fillId="10" borderId="52" xfId="2" applyFont="1" applyFill="1" applyBorder="1" applyAlignment="1" applyProtection="1">
      <alignment horizontal="center" vertical="center"/>
    </xf>
    <xf numFmtId="0" fontId="5" fillId="4" borderId="0" xfId="0" applyFont="1" applyFill="1" applyAlignment="1">
      <alignment horizontal="center" vertical="center"/>
    </xf>
    <xf numFmtId="0" fontId="5" fillId="4" borderId="58" xfId="0" applyFont="1" applyFill="1" applyBorder="1" applyAlignment="1">
      <alignment vertical="center"/>
    </xf>
    <xf numFmtId="0" fontId="5" fillId="4" borderId="58" xfId="0" applyFont="1" applyFill="1" applyBorder="1" applyAlignment="1">
      <alignment vertical="center" wrapText="1"/>
    </xf>
    <xf numFmtId="0" fontId="22" fillId="10" borderId="52" xfId="0" applyFont="1" applyFill="1" applyBorder="1" applyAlignment="1">
      <alignment vertical="center"/>
    </xf>
    <xf numFmtId="0" fontId="5" fillId="4" borderId="0" xfId="0" applyFont="1" applyFill="1" applyAlignment="1">
      <alignment horizontal="right" vertical="center"/>
    </xf>
    <xf numFmtId="0" fontId="27" fillId="4" borderId="0" xfId="2" applyFont="1" applyFill="1" applyAlignment="1" applyProtection="1">
      <alignment vertical="center"/>
    </xf>
    <xf numFmtId="0" fontId="28" fillId="4" borderId="0" xfId="0" applyFont="1" applyFill="1" applyAlignment="1">
      <alignment vertical="center"/>
    </xf>
    <xf numFmtId="0" fontId="28" fillId="10" borderId="52" xfId="0" applyFont="1" applyFill="1" applyBorder="1" applyAlignment="1">
      <alignment vertical="center"/>
    </xf>
    <xf numFmtId="0" fontId="5" fillId="10" borderId="52" xfId="2" applyFont="1" applyFill="1" applyBorder="1" applyAlignment="1" applyProtection="1">
      <alignment vertical="center"/>
    </xf>
    <xf numFmtId="0" fontId="28" fillId="4" borderId="0" xfId="0" applyFont="1" applyFill="1"/>
    <xf numFmtId="0" fontId="5" fillId="4" borderId="0" xfId="2" applyFont="1" applyFill="1" applyAlignment="1" applyProtection="1">
      <alignment vertical="center"/>
    </xf>
    <xf numFmtId="0" fontId="24" fillId="4" borderId="0" xfId="0" applyFont="1" applyFill="1" applyAlignment="1">
      <alignment horizontal="center" vertical="center"/>
    </xf>
    <xf numFmtId="0" fontId="5" fillId="10" borderId="52" xfId="0" applyFont="1" applyFill="1" applyBorder="1" applyAlignment="1">
      <alignment vertical="center" wrapText="1"/>
    </xf>
    <xf numFmtId="0" fontId="5" fillId="10" borderId="52" xfId="0" applyFont="1" applyFill="1" applyBorder="1" applyAlignment="1">
      <alignment horizontal="left" vertical="center"/>
    </xf>
    <xf numFmtId="0" fontId="5" fillId="4" borderId="0" xfId="0" applyFont="1" applyFill="1" applyAlignment="1">
      <alignment horizontal="left" vertical="center"/>
    </xf>
    <xf numFmtId="0" fontId="24" fillId="4" borderId="0" xfId="0" applyFont="1" applyFill="1" applyAlignment="1">
      <alignment horizontal="left" vertical="center"/>
    </xf>
    <xf numFmtId="0" fontId="5" fillId="0" borderId="0" xfId="0" applyFont="1" applyAlignment="1">
      <alignment horizontal="left" vertical="center"/>
    </xf>
    <xf numFmtId="0" fontId="22" fillId="10" borderId="59" xfId="0" applyFont="1" applyFill="1" applyBorder="1" applyAlignment="1">
      <alignment vertical="center"/>
    </xf>
    <xf numFmtId="0" fontId="5" fillId="10" borderId="44" xfId="0" applyFont="1" applyFill="1" applyBorder="1" applyAlignment="1">
      <alignment horizontal="left" vertical="center"/>
    </xf>
    <xf numFmtId="0" fontId="19" fillId="11" borderId="60" xfId="2" applyFont="1" applyFill="1" applyBorder="1" applyAlignment="1" applyProtection="1">
      <alignment horizontal="center" vertical="center"/>
    </xf>
    <xf numFmtId="0" fontId="21" fillId="11" borderId="0" xfId="0" applyFont="1" applyFill="1" applyAlignment="1">
      <alignment horizontal="center" vertical="center"/>
    </xf>
    <xf numFmtId="0" fontId="22" fillId="10" borderId="61" xfId="0" applyFont="1" applyFill="1" applyBorder="1" applyAlignment="1">
      <alignment vertical="center"/>
    </xf>
    <xf numFmtId="0" fontId="5" fillId="10" borderId="62" xfId="0" applyFont="1" applyFill="1" applyBorder="1" applyAlignment="1">
      <alignment vertical="center"/>
    </xf>
    <xf numFmtId="0" fontId="19" fillId="4" borderId="0" xfId="2" applyFont="1" applyFill="1" applyBorder="1" applyAlignment="1" applyProtection="1">
      <alignment vertical="center"/>
    </xf>
    <xf numFmtId="0" fontId="29" fillId="11" borderId="52" xfId="0" applyFont="1" applyFill="1" applyBorder="1" applyAlignment="1">
      <alignment horizontal="left" vertical="center"/>
    </xf>
    <xf numFmtId="0" fontId="19" fillId="4" borderId="0" xfId="2" applyFont="1" applyFill="1" applyBorder="1" applyAlignment="1" applyProtection="1">
      <alignment horizontal="center" vertical="center"/>
    </xf>
    <xf numFmtId="0" fontId="23" fillId="4" borderId="0" xfId="0" applyFont="1" applyFill="1" applyAlignment="1">
      <alignment horizontal="right" vertical="center"/>
    </xf>
    <xf numFmtId="0" fontId="5" fillId="4" borderId="0" xfId="2" applyFont="1" applyFill="1" applyAlignment="1" applyProtection="1">
      <alignment horizontal="center" vertical="center"/>
    </xf>
    <xf numFmtId="0" fontId="30" fillId="4" borderId="0" xfId="2" applyFont="1" applyFill="1" applyAlignment="1" applyProtection="1">
      <alignment horizontal="center" vertical="center"/>
    </xf>
    <xf numFmtId="0" fontId="5" fillId="10" borderId="52" xfId="2" applyFont="1" applyFill="1" applyBorder="1" applyAlignment="1" applyProtection="1">
      <alignment horizontal="center" vertical="center"/>
    </xf>
    <xf numFmtId="0" fontId="22" fillId="10" borderId="57" xfId="0" applyFont="1" applyFill="1" applyBorder="1" applyAlignment="1">
      <alignment horizontal="center" vertical="center"/>
    </xf>
    <xf numFmtId="0" fontId="23" fillId="11" borderId="52" xfId="0" applyFont="1" applyFill="1" applyBorder="1" applyAlignment="1">
      <alignment horizontal="right" vertical="center"/>
    </xf>
    <xf numFmtId="0" fontId="5" fillId="0" borderId="0" xfId="0" applyFont="1" applyAlignment="1">
      <alignment horizontal="right" vertical="center"/>
    </xf>
    <xf numFmtId="0" fontId="5" fillId="0" borderId="0" xfId="0" applyFont="1" applyAlignment="1">
      <alignment horizontal="center" vertical="center"/>
    </xf>
    <xf numFmtId="0" fontId="13" fillId="0" borderId="0" xfId="0" applyFont="1"/>
    <xf numFmtId="0" fontId="28" fillId="0" borderId="0" xfId="0" applyFont="1"/>
    <xf numFmtId="0" fontId="37" fillId="0" borderId="0" xfId="0" applyFont="1" applyAlignment="1">
      <alignment horizontal="center" vertical="center" shrinkToFit="1"/>
    </xf>
    <xf numFmtId="0" fontId="28" fillId="0" borderId="0" xfId="0" applyFont="1" applyAlignment="1">
      <alignment horizontal="left" vertical="center" wrapText="1"/>
    </xf>
    <xf numFmtId="0" fontId="28" fillId="0" borderId="0" xfId="0" applyFont="1" applyAlignment="1">
      <alignment horizontal="left" vertical="center"/>
    </xf>
    <xf numFmtId="0" fontId="28"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center" vertical="center"/>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vertical="center"/>
    </xf>
    <xf numFmtId="0" fontId="28" fillId="0" borderId="6" xfId="0" applyFont="1" applyBorder="1" applyAlignment="1">
      <alignment horizontal="center" vertical="center"/>
    </xf>
    <xf numFmtId="0" fontId="28" fillId="0" borderId="7" xfId="0" applyFont="1" applyBorder="1" applyAlignment="1">
      <alignment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39" fillId="0" borderId="0" xfId="0" applyFont="1" applyAlignment="1">
      <alignment horizontal="center" vertical="center"/>
    </xf>
    <xf numFmtId="0" fontId="28" fillId="0" borderId="10" xfId="0" applyFont="1" applyBorder="1" applyAlignment="1">
      <alignment vertical="center"/>
    </xf>
    <xf numFmtId="0" fontId="28" fillId="0" borderId="11" xfId="0" applyFont="1" applyBorder="1" applyAlignment="1">
      <alignment horizontal="center" vertical="center"/>
    </xf>
    <xf numFmtId="0" fontId="28" fillId="0" borderId="12" xfId="0" applyFont="1" applyBorder="1" applyAlignment="1">
      <alignment vertical="center"/>
    </xf>
    <xf numFmtId="0" fontId="39" fillId="0" borderId="0" xfId="0" quotePrefix="1" applyFont="1" applyAlignment="1">
      <alignment vertical="center"/>
    </xf>
    <xf numFmtId="0" fontId="28" fillId="0" borderId="13" xfId="0" applyFont="1" applyBorder="1" applyAlignment="1">
      <alignment horizontal="center" vertical="center"/>
    </xf>
    <xf numFmtId="0" fontId="28" fillId="0" borderId="6" xfId="0" applyFont="1" applyBorder="1" applyAlignment="1">
      <alignment vertical="center"/>
    </xf>
    <xf numFmtId="0" fontId="28" fillId="0" borderId="5"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vertical="center"/>
    </xf>
    <xf numFmtId="58" fontId="28" fillId="0" borderId="5" xfId="0" applyNumberFormat="1" applyFont="1" applyBorder="1" applyAlignment="1">
      <alignment vertical="center"/>
    </xf>
    <xf numFmtId="0" fontId="28" fillId="0" borderId="9" xfId="0" applyFont="1" applyBorder="1" applyAlignment="1">
      <alignment vertical="center"/>
    </xf>
    <xf numFmtId="0" fontId="28" fillId="0" borderId="0" xfId="0" applyFont="1" applyAlignment="1">
      <alignment horizontal="right" vertical="center"/>
    </xf>
    <xf numFmtId="58" fontId="28" fillId="0" borderId="10" xfId="0" applyNumberFormat="1" applyFont="1" applyBorder="1" applyAlignment="1">
      <alignment vertical="center"/>
    </xf>
    <xf numFmtId="0" fontId="40" fillId="0" borderId="0" xfId="0" applyFont="1" applyAlignment="1">
      <alignment horizontal="left" vertical="center" wrapText="1"/>
    </xf>
    <xf numFmtId="0" fontId="5" fillId="0" borderId="0" xfId="0" applyFont="1"/>
    <xf numFmtId="0" fontId="28" fillId="0" borderId="14" xfId="0" applyFont="1" applyBorder="1" applyAlignment="1">
      <alignment horizontal="center" vertical="center"/>
    </xf>
    <xf numFmtId="14" fontId="28" fillId="0" borderId="14" xfId="0" applyNumberFormat="1" applyFont="1" applyBorder="1" applyAlignment="1">
      <alignment horizontal="center" vertical="center"/>
    </xf>
    <xf numFmtId="14" fontId="28" fillId="0" borderId="14" xfId="0" applyNumberFormat="1" applyFont="1" applyBorder="1" applyAlignment="1">
      <alignment horizontal="center"/>
    </xf>
    <xf numFmtId="0" fontId="28" fillId="0" borderId="14" xfId="0" applyFont="1" applyBorder="1" applyAlignment="1">
      <alignment horizontal="center"/>
    </xf>
    <xf numFmtId="14" fontId="5" fillId="0" borderId="0" xfId="0" applyNumberFormat="1" applyFont="1" applyAlignment="1">
      <alignment horizontal="center" vertical="center"/>
    </xf>
    <xf numFmtId="0" fontId="5" fillId="0" borderId="15" xfId="0" pivotButton="1" applyFont="1" applyBorder="1" applyAlignment="1">
      <alignment vertical="center"/>
    </xf>
    <xf numFmtId="0" fontId="5" fillId="0" borderId="15"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xf>
    <xf numFmtId="0" fontId="5" fillId="0" borderId="18" xfId="0" applyFont="1" applyBorder="1" applyAlignment="1">
      <alignment vertical="center"/>
    </xf>
    <xf numFmtId="0" fontId="5" fillId="0" borderId="19"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22" xfId="0" applyFont="1" applyBorder="1" applyAlignment="1">
      <alignment vertical="center"/>
    </xf>
    <xf numFmtId="0" fontId="5" fillId="0" borderId="23" xfId="0" applyFont="1" applyBorder="1" applyAlignment="1">
      <alignment vertical="center"/>
    </xf>
    <xf numFmtId="0" fontId="5" fillId="0" borderId="24" xfId="0" applyFont="1" applyBorder="1" applyAlignment="1">
      <alignment vertical="center"/>
    </xf>
    <xf numFmtId="0" fontId="41" fillId="0" borderId="0" xfId="0" applyFont="1" applyAlignment="1">
      <alignment horizontal="center" vertical="center"/>
    </xf>
    <xf numFmtId="0" fontId="28" fillId="0" borderId="1" xfId="0" applyFont="1" applyBorder="1" applyAlignment="1">
      <alignment horizontal="right" vertical="center"/>
    </xf>
    <xf numFmtId="0" fontId="28" fillId="0" borderId="3" xfId="0" applyFont="1" applyBorder="1" applyAlignment="1">
      <alignment vertical="center"/>
    </xf>
    <xf numFmtId="0" fontId="28" fillId="0" borderId="5" xfId="0" applyFont="1" applyBorder="1" applyAlignment="1">
      <alignment horizontal="right" vertical="center"/>
    </xf>
    <xf numFmtId="0" fontId="28" fillId="0" borderId="10" xfId="0" applyFont="1" applyBorder="1" applyAlignment="1">
      <alignment horizontal="right" vertical="center"/>
    </xf>
    <xf numFmtId="14" fontId="28" fillId="0" borderId="5" xfId="0" applyNumberFormat="1" applyFont="1" applyBorder="1" applyAlignment="1">
      <alignment vertical="center"/>
    </xf>
    <xf numFmtId="0" fontId="24" fillId="0" borderId="0" xfId="0" applyFont="1" applyAlignment="1">
      <alignment horizontal="right" vertical="center"/>
    </xf>
    <xf numFmtId="0" fontId="24" fillId="0" borderId="0" xfId="0" applyFont="1" applyAlignment="1">
      <alignment vertical="center"/>
    </xf>
    <xf numFmtId="9" fontId="28" fillId="0" borderId="0" xfId="0" applyNumberFormat="1" applyFont="1" applyAlignment="1">
      <alignment horizontal="right" vertical="center"/>
    </xf>
    <xf numFmtId="10" fontId="28" fillId="0" borderId="0" xfId="0" applyNumberFormat="1" applyFont="1" applyAlignment="1">
      <alignment horizontal="right" vertical="center"/>
    </xf>
    <xf numFmtId="11" fontId="28" fillId="0" borderId="0" xfId="0" applyNumberFormat="1" applyFont="1" applyAlignment="1">
      <alignment horizontal="right" vertical="center"/>
    </xf>
    <xf numFmtId="0" fontId="28" fillId="0" borderId="0" xfId="0" quotePrefix="1" applyFont="1" applyAlignment="1">
      <alignment horizontal="right" vertical="center"/>
    </xf>
    <xf numFmtId="14" fontId="28" fillId="0" borderId="0" xfId="0" applyNumberFormat="1" applyFont="1" applyAlignment="1">
      <alignment vertical="center"/>
    </xf>
    <xf numFmtId="0" fontId="42" fillId="0" borderId="0" xfId="0" applyFont="1" applyAlignment="1">
      <alignment vertical="center"/>
    </xf>
    <xf numFmtId="0" fontId="28" fillId="0" borderId="12" xfId="0" applyFont="1" applyBorder="1" applyAlignment="1">
      <alignment horizontal="center" vertical="center"/>
    </xf>
    <xf numFmtId="0" fontId="28" fillId="0" borderId="10" xfId="0" applyFont="1" applyBorder="1" applyAlignment="1">
      <alignment horizontal="center" vertical="center"/>
    </xf>
    <xf numFmtId="11" fontId="28" fillId="0" borderId="6" xfId="0" applyNumberFormat="1" applyFont="1" applyBorder="1" applyAlignment="1">
      <alignment horizontal="center" vertical="center"/>
    </xf>
    <xf numFmtId="11" fontId="28" fillId="0" borderId="0" xfId="0" applyNumberFormat="1" applyFont="1" applyAlignment="1">
      <alignment vertical="center"/>
    </xf>
    <xf numFmtId="11" fontId="28" fillId="0" borderId="11" xfId="0" applyNumberFormat="1" applyFont="1" applyBorder="1" applyAlignment="1">
      <alignment horizontal="center" vertical="center"/>
    </xf>
    <xf numFmtId="0" fontId="26" fillId="0" borderId="0" xfId="0" applyFont="1" applyAlignment="1">
      <alignment vertical="center"/>
    </xf>
    <xf numFmtId="8" fontId="28" fillId="0" borderId="0" xfId="0" applyNumberFormat="1" applyFont="1" applyAlignment="1">
      <alignment vertical="center"/>
    </xf>
    <xf numFmtId="0" fontId="40" fillId="0" borderId="0" xfId="0" applyFont="1" applyAlignment="1">
      <alignment vertical="center"/>
    </xf>
    <xf numFmtId="0" fontId="39" fillId="0" borderId="0" xfId="0" applyFont="1" applyAlignment="1">
      <alignment vertical="center"/>
    </xf>
    <xf numFmtId="3" fontId="28" fillId="0" borderId="0" xfId="0" applyNumberFormat="1" applyFont="1" applyAlignment="1">
      <alignment vertical="center"/>
    </xf>
    <xf numFmtId="9" fontId="28" fillId="0" borderId="0" xfId="0" applyNumberFormat="1" applyFont="1" applyAlignment="1">
      <alignment vertical="center"/>
    </xf>
    <xf numFmtId="0" fontId="28" fillId="0" borderId="0" xfId="0" applyFont="1" applyAlignment="1">
      <alignment horizontal="left" vertical="center" indent="1"/>
    </xf>
    <xf numFmtId="10" fontId="28" fillId="0" borderId="0" xfId="0" applyNumberFormat="1" applyFont="1" applyAlignment="1">
      <alignment vertical="center"/>
    </xf>
    <xf numFmtId="177" fontId="28" fillId="0" borderId="0" xfId="0" applyNumberFormat="1" applyFont="1" applyAlignment="1">
      <alignment vertical="center"/>
    </xf>
    <xf numFmtId="178" fontId="28" fillId="0" borderId="0" xfId="0" applyNumberFormat="1" applyFont="1" applyAlignment="1">
      <alignment vertical="center"/>
    </xf>
    <xf numFmtId="179" fontId="28" fillId="0" borderId="0" xfId="0" applyNumberFormat="1" applyFont="1" applyAlignment="1">
      <alignment vertical="center"/>
    </xf>
    <xf numFmtId="0" fontId="39" fillId="0" borderId="0" xfId="0" quotePrefix="1" applyFont="1" applyAlignment="1">
      <alignment horizontal="right" vertical="center"/>
    </xf>
    <xf numFmtId="14" fontId="40" fillId="0" borderId="0" xfId="0" applyNumberFormat="1" applyFont="1" applyAlignment="1">
      <alignment vertical="center"/>
    </xf>
    <xf numFmtId="6" fontId="28" fillId="0" borderId="0" xfId="0" applyNumberFormat="1" applyFont="1" applyAlignment="1">
      <alignment vertical="center"/>
    </xf>
    <xf numFmtId="0" fontId="28" fillId="0" borderId="0" xfId="0" applyFont="1" applyAlignment="1">
      <alignment horizontal="center" vertical="center" wrapText="1"/>
    </xf>
    <xf numFmtId="0" fontId="41" fillId="0" borderId="0" xfId="0" applyFont="1" applyAlignment="1">
      <alignment vertical="center"/>
    </xf>
    <xf numFmtId="9" fontId="5" fillId="0" borderId="0" xfId="0" applyNumberFormat="1" applyFont="1" applyAlignment="1">
      <alignment vertical="center"/>
    </xf>
    <xf numFmtId="10" fontId="5" fillId="0" borderId="0" xfId="0" applyNumberFormat="1" applyFont="1" applyAlignment="1">
      <alignment vertical="center"/>
    </xf>
    <xf numFmtId="3" fontId="5" fillId="0" borderId="0" xfId="0" applyNumberFormat="1" applyFont="1" applyAlignment="1">
      <alignment vertical="center"/>
    </xf>
    <xf numFmtId="8" fontId="43" fillId="0" borderId="0" xfId="0" applyNumberFormat="1" applyFont="1" applyAlignment="1">
      <alignment vertical="center"/>
    </xf>
    <xf numFmtId="0" fontId="22" fillId="0" borderId="0" xfId="0" applyFont="1" applyAlignment="1">
      <alignment vertical="center"/>
    </xf>
    <xf numFmtId="180" fontId="28" fillId="0" borderId="0" xfId="0" applyNumberFormat="1" applyFont="1" applyAlignment="1">
      <alignment vertical="center"/>
    </xf>
    <xf numFmtId="0" fontId="5" fillId="0" borderId="7" xfId="0" applyFont="1" applyBorder="1" applyAlignment="1">
      <alignment vertical="center"/>
    </xf>
    <xf numFmtId="0" fontId="44" fillId="0" borderId="0" xfId="0" applyFont="1" applyAlignment="1">
      <alignment vertical="center"/>
    </xf>
    <xf numFmtId="0" fontId="28" fillId="2" borderId="7" xfId="0" applyFont="1" applyFill="1" applyBorder="1" applyAlignment="1">
      <alignment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5" fillId="0" borderId="10" xfId="0" applyFont="1" applyBorder="1" applyAlignment="1">
      <alignment vertical="center"/>
    </xf>
    <xf numFmtId="0" fontId="5" fillId="0" borderId="12" xfId="0" applyFont="1" applyBorder="1" applyAlignment="1">
      <alignment vertical="center"/>
    </xf>
    <xf numFmtId="0" fontId="40" fillId="0" borderId="3" xfId="0" applyFont="1" applyBorder="1" applyAlignment="1">
      <alignment horizontal="center" vertical="center"/>
    </xf>
    <xf numFmtId="179" fontId="28" fillId="0" borderId="7" xfId="0" applyNumberFormat="1" applyFont="1" applyBorder="1" applyAlignment="1">
      <alignment vertical="center"/>
    </xf>
    <xf numFmtId="179" fontId="28" fillId="0" borderId="11" xfId="0" applyNumberFormat="1" applyFont="1" applyBorder="1" applyAlignment="1">
      <alignment vertical="center"/>
    </xf>
    <xf numFmtId="0" fontId="28" fillId="0" borderId="1" xfId="0" applyFont="1" applyBorder="1" applyAlignment="1">
      <alignment vertical="center"/>
    </xf>
    <xf numFmtId="0" fontId="28" fillId="0" borderId="2" xfId="0" applyFont="1" applyBorder="1" applyAlignment="1">
      <alignment vertical="center"/>
    </xf>
    <xf numFmtId="0" fontId="5" fillId="0" borderId="0" xfId="0" applyFont="1" applyAlignment="1">
      <alignment horizontal="left" vertical="center" indent="1"/>
    </xf>
    <xf numFmtId="0" fontId="28" fillId="2" borderId="12" xfId="0" applyFont="1" applyFill="1" applyBorder="1" applyAlignment="1">
      <alignment vertical="center"/>
    </xf>
    <xf numFmtId="0" fontId="28" fillId="2" borderId="0" xfId="0" applyFont="1" applyFill="1" applyAlignment="1">
      <alignment vertical="center"/>
    </xf>
    <xf numFmtId="0" fontId="28" fillId="0" borderId="25" xfId="0" applyFont="1" applyBorder="1" applyAlignment="1">
      <alignment vertical="center"/>
    </xf>
    <xf numFmtId="0" fontId="5" fillId="0" borderId="12" xfId="0" applyFont="1" applyBorder="1" applyAlignment="1">
      <alignment horizontal="center" vertical="center"/>
    </xf>
    <xf numFmtId="0" fontId="5" fillId="0" borderId="1" xfId="0" applyFont="1" applyBorder="1" applyAlignment="1">
      <alignment vertical="center"/>
    </xf>
    <xf numFmtId="0" fontId="22" fillId="0" borderId="3" xfId="0" applyFont="1" applyBorder="1" applyAlignment="1">
      <alignment vertical="center"/>
    </xf>
    <xf numFmtId="0" fontId="28" fillId="0" borderId="8" xfId="0" applyFont="1" applyBorder="1" applyAlignment="1">
      <alignment vertical="center"/>
    </xf>
    <xf numFmtId="0" fontId="28" fillId="2" borderId="26" xfId="0" applyFont="1" applyFill="1" applyBorder="1" applyAlignment="1">
      <alignment horizontal="center" vertical="center"/>
    </xf>
    <xf numFmtId="0" fontId="28" fillId="2" borderId="27" xfId="0" applyFont="1" applyFill="1" applyBorder="1" applyAlignment="1">
      <alignment horizontal="center" vertical="center"/>
    </xf>
    <xf numFmtId="0" fontId="28" fillId="3" borderId="27" xfId="0" applyFont="1" applyFill="1" applyBorder="1" applyAlignment="1">
      <alignment horizontal="center" vertical="center"/>
    </xf>
    <xf numFmtId="0" fontId="28" fillId="2" borderId="28" xfId="0" applyFont="1" applyFill="1" applyBorder="1" applyAlignment="1">
      <alignment horizontal="center" vertical="center"/>
    </xf>
    <xf numFmtId="49" fontId="28" fillId="0" borderId="0" xfId="0" applyNumberFormat="1" applyFont="1" applyAlignment="1">
      <alignment vertical="center"/>
    </xf>
    <xf numFmtId="49" fontId="28" fillId="0" borderId="5" xfId="0" applyNumberFormat="1" applyFont="1" applyBorder="1" applyAlignment="1">
      <alignment vertical="center"/>
    </xf>
    <xf numFmtId="0" fontId="28" fillId="0" borderId="12" xfId="0" quotePrefix="1" applyFont="1" applyBorder="1" applyAlignment="1">
      <alignment vertical="center"/>
    </xf>
    <xf numFmtId="49" fontId="5" fillId="0" borderId="0" xfId="0" applyNumberFormat="1" applyFont="1" applyAlignment="1">
      <alignment vertical="center"/>
    </xf>
    <xf numFmtId="0" fontId="47" fillId="0" borderId="0" xfId="0" quotePrefix="1" applyFont="1" applyAlignment="1">
      <alignment vertical="center"/>
    </xf>
    <xf numFmtId="0" fontId="28" fillId="0" borderId="7" xfId="0" quotePrefix="1" applyFont="1" applyBorder="1" applyAlignment="1">
      <alignment vertical="center"/>
    </xf>
    <xf numFmtId="0" fontId="28" fillId="0" borderId="4" xfId="0" applyFont="1" applyBorder="1" applyAlignment="1">
      <alignment vertical="center"/>
    </xf>
    <xf numFmtId="0" fontId="28" fillId="0" borderId="6" xfId="0" applyFont="1" applyBorder="1" applyAlignment="1">
      <alignment vertical="center" wrapText="1"/>
    </xf>
    <xf numFmtId="0" fontId="28" fillId="0" borderId="7" xfId="0" applyFont="1" applyBorder="1" applyAlignment="1">
      <alignment vertical="center" wrapText="1"/>
    </xf>
    <xf numFmtId="0" fontId="28" fillId="0" borderId="29" xfId="0" applyFont="1" applyBorder="1" applyAlignment="1">
      <alignment vertical="center"/>
    </xf>
    <xf numFmtId="0" fontId="28" fillId="0" borderId="30" xfId="0" applyFont="1" applyBorder="1" applyAlignment="1">
      <alignment vertical="center"/>
    </xf>
    <xf numFmtId="0" fontId="41" fillId="0" borderId="7" xfId="0" applyFont="1" applyBorder="1" applyAlignment="1">
      <alignment vertical="center"/>
    </xf>
    <xf numFmtId="58" fontId="28" fillId="0" borderId="2" xfId="0" applyNumberFormat="1" applyFont="1" applyBorder="1" applyAlignment="1">
      <alignment vertical="center"/>
    </xf>
    <xf numFmtId="0" fontId="41" fillId="0" borderId="6" xfId="0" applyFont="1" applyBorder="1" applyAlignment="1">
      <alignment vertical="center"/>
    </xf>
    <xf numFmtId="49" fontId="28" fillId="0" borderId="5" xfId="0" applyNumberFormat="1" applyFont="1" applyBorder="1" applyAlignment="1">
      <alignment horizontal="center" vertical="center"/>
    </xf>
    <xf numFmtId="10" fontId="28" fillId="0" borderId="6" xfId="0" applyNumberFormat="1" applyFont="1" applyBorder="1" applyAlignment="1">
      <alignment horizontal="center" vertical="center"/>
    </xf>
    <xf numFmtId="0" fontId="24" fillId="0" borderId="12" xfId="0" applyFont="1" applyBorder="1" applyAlignment="1">
      <alignment vertical="center"/>
    </xf>
    <xf numFmtId="0" fontId="50" fillId="0" borderId="0" xfId="2" applyFont="1" applyAlignment="1" applyProtection="1">
      <alignment vertical="center"/>
    </xf>
    <xf numFmtId="0" fontId="19" fillId="0" borderId="0" xfId="2" applyFont="1" applyAlignment="1" applyProtection="1">
      <alignment vertical="center"/>
    </xf>
    <xf numFmtId="58" fontId="28" fillId="0" borderId="2" xfId="0" applyNumberFormat="1" applyFont="1" applyBorder="1" applyAlignment="1">
      <alignment horizontal="center" vertical="center"/>
    </xf>
    <xf numFmtId="0" fontId="28" fillId="0" borderId="7" xfId="0" applyFont="1" applyBorder="1" applyAlignment="1">
      <alignment vertical="center" shrinkToFit="1"/>
    </xf>
    <xf numFmtId="0" fontId="28" fillId="0" borderId="0" xfId="0" quotePrefix="1" applyFont="1" applyAlignment="1">
      <alignment horizontal="center" vertical="center"/>
    </xf>
    <xf numFmtId="0" fontId="39" fillId="0" borderId="7" xfId="0" applyFont="1" applyBorder="1" applyAlignment="1">
      <alignment vertical="center"/>
    </xf>
    <xf numFmtId="0" fontId="28" fillId="0" borderId="2" xfId="0" applyFont="1" applyBorder="1" applyAlignment="1">
      <alignment vertical="center" shrinkToFit="1"/>
    </xf>
    <xf numFmtId="0" fontId="28" fillId="2" borderId="6" xfId="0" applyFont="1" applyFill="1" applyBorder="1" applyAlignment="1">
      <alignment horizontal="center" vertical="center"/>
    </xf>
    <xf numFmtId="0" fontId="28" fillId="0" borderId="12" xfId="0" applyFont="1" applyBorder="1" applyAlignment="1">
      <alignment vertical="center" wrapText="1"/>
    </xf>
    <xf numFmtId="58" fontId="28" fillId="0" borderId="0" xfId="0" applyNumberFormat="1" applyFont="1" applyAlignment="1">
      <alignment horizontal="center" vertical="center"/>
    </xf>
    <xf numFmtId="0" fontId="28" fillId="0" borderId="11" xfId="0" applyFont="1" applyBorder="1" applyAlignment="1">
      <alignment vertical="center" wrapText="1"/>
    </xf>
    <xf numFmtId="21" fontId="28" fillId="0" borderId="6" xfId="0" applyNumberFormat="1" applyFont="1" applyBorder="1" applyAlignment="1">
      <alignment vertical="center" wrapText="1"/>
    </xf>
    <xf numFmtId="14" fontId="28" fillId="0" borderId="6" xfId="0" applyNumberFormat="1" applyFont="1" applyBorder="1" applyAlignment="1">
      <alignment vertical="center" shrinkToFit="1"/>
    </xf>
    <xf numFmtId="14" fontId="28" fillId="0" borderId="6" xfId="0" applyNumberFormat="1" applyFont="1" applyBorder="1" applyAlignment="1">
      <alignment vertical="center" wrapText="1"/>
    </xf>
    <xf numFmtId="0" fontId="13" fillId="0" borderId="0" xfId="0" applyFont="1" applyAlignment="1">
      <alignment horizontal="center" vertical="center" wrapText="1"/>
    </xf>
    <xf numFmtId="0" fontId="5" fillId="0" borderId="0" xfId="0" applyFont="1" applyAlignment="1">
      <alignment vertical="center" wrapText="1"/>
    </xf>
    <xf numFmtId="0" fontId="28" fillId="2" borderId="0" xfId="0" applyFont="1" applyFill="1" applyAlignment="1">
      <alignment horizontal="center" vertical="center"/>
    </xf>
    <xf numFmtId="0" fontId="28" fillId="0" borderId="1" xfId="0" applyFont="1" applyBorder="1"/>
    <xf numFmtId="49" fontId="28" fillId="0" borderId="3" xfId="0" applyNumberFormat="1" applyFont="1" applyBorder="1" applyAlignment="1">
      <alignment vertical="center"/>
    </xf>
    <xf numFmtId="0" fontId="28" fillId="0" borderId="5" xfId="0" applyFont="1" applyBorder="1"/>
    <xf numFmtId="0" fontId="28" fillId="0" borderId="10" xfId="0" applyFont="1" applyBorder="1"/>
    <xf numFmtId="49" fontId="28" fillId="0" borderId="12" xfId="0" applyNumberFormat="1" applyFont="1" applyBorder="1" applyAlignment="1">
      <alignment vertical="center"/>
    </xf>
    <xf numFmtId="0" fontId="28" fillId="0" borderId="0" xfId="0" quotePrefix="1" applyFont="1" applyAlignment="1">
      <alignment vertical="center"/>
    </xf>
    <xf numFmtId="49" fontId="28" fillId="0" borderId="11" xfId="0" applyNumberFormat="1" applyFont="1" applyBorder="1" applyAlignment="1">
      <alignment vertical="center"/>
    </xf>
    <xf numFmtId="0" fontId="28" fillId="0" borderId="6" xfId="0" quotePrefix="1" applyFont="1" applyBorder="1"/>
    <xf numFmtId="9" fontId="28" fillId="0" borderId="6" xfId="0" applyNumberFormat="1" applyFont="1" applyBorder="1" applyAlignment="1">
      <alignment vertical="center"/>
    </xf>
    <xf numFmtId="0" fontId="5" fillId="0" borderId="27" xfId="0" applyFont="1" applyBorder="1" applyAlignment="1">
      <alignment vertical="center"/>
    </xf>
    <xf numFmtId="10" fontId="28" fillId="0" borderId="7" xfId="0" applyNumberFormat="1" applyFont="1" applyBorder="1" applyAlignment="1">
      <alignment horizontal="center" vertical="center"/>
    </xf>
    <xf numFmtId="0" fontId="50" fillId="0" borderId="0" xfId="2" applyFont="1" applyAlignment="1" applyProtection="1">
      <alignment horizontal="center" vertical="center"/>
    </xf>
    <xf numFmtId="0" fontId="19" fillId="0" borderId="0" xfId="2" applyFont="1" applyAlignment="1" applyProtection="1">
      <alignment horizontal="center" vertical="center"/>
    </xf>
    <xf numFmtId="0" fontId="5" fillId="4" borderId="1" xfId="0" applyFont="1" applyFill="1" applyBorder="1" applyAlignment="1">
      <alignment vertical="center"/>
    </xf>
    <xf numFmtId="0" fontId="5" fillId="4" borderId="2" xfId="0" applyFont="1" applyFill="1" applyBorder="1" applyAlignment="1">
      <alignment vertical="center"/>
    </xf>
    <xf numFmtId="0" fontId="5" fillId="4" borderId="3" xfId="0" applyFont="1" applyFill="1" applyBorder="1" applyAlignment="1">
      <alignment vertical="center"/>
    </xf>
    <xf numFmtId="0" fontId="5" fillId="4" borderId="5" xfId="0" applyFont="1" applyFill="1" applyBorder="1" applyAlignment="1">
      <alignment vertical="center"/>
    </xf>
    <xf numFmtId="0" fontId="5" fillId="4" borderId="6" xfId="0" applyFont="1" applyFill="1" applyBorder="1" applyAlignment="1">
      <alignment vertical="center"/>
    </xf>
    <xf numFmtId="0" fontId="5" fillId="4" borderId="7" xfId="0" applyFont="1" applyFill="1" applyBorder="1" applyAlignment="1">
      <alignment vertical="center"/>
    </xf>
    <xf numFmtId="0" fontId="5" fillId="4" borderId="10" xfId="0" applyFont="1" applyFill="1" applyBorder="1" applyAlignment="1">
      <alignment vertical="center"/>
    </xf>
    <xf numFmtId="0" fontId="5" fillId="4" borderId="11" xfId="0" applyFont="1" applyFill="1" applyBorder="1" applyAlignment="1">
      <alignment vertical="center"/>
    </xf>
    <xf numFmtId="0" fontId="5" fillId="4" borderId="12" xfId="0" applyFont="1" applyFill="1" applyBorder="1" applyAlignment="1">
      <alignment vertical="center"/>
    </xf>
    <xf numFmtId="0" fontId="28" fillId="4" borderId="6" xfId="0" applyFont="1" applyFill="1" applyBorder="1" applyAlignment="1">
      <alignment vertical="center"/>
    </xf>
    <xf numFmtId="0" fontId="28" fillId="4" borderId="7" xfId="0" applyFont="1" applyFill="1" applyBorder="1" applyAlignment="1">
      <alignment vertical="center"/>
    </xf>
    <xf numFmtId="0" fontId="28" fillId="4" borderId="11" xfId="0" applyFont="1" applyFill="1" applyBorder="1" applyAlignment="1">
      <alignment vertical="center"/>
    </xf>
    <xf numFmtId="0" fontId="19" fillId="0" borderId="0" xfId="2" applyFont="1" applyAlignment="1" applyProtection="1">
      <alignment horizontal="left" vertical="center" indent="1"/>
    </xf>
    <xf numFmtId="0" fontId="5" fillId="2" borderId="0" xfId="0" applyFont="1" applyFill="1" applyAlignment="1">
      <alignment vertical="center"/>
    </xf>
    <xf numFmtId="0" fontId="5" fillId="5" borderId="0" xfId="0" applyFont="1" applyFill="1" applyAlignment="1">
      <alignment vertical="center"/>
    </xf>
    <xf numFmtId="0" fontId="50" fillId="0" borderId="0" xfId="2" applyFont="1" applyAlignment="1" applyProtection="1">
      <alignment horizontal="left" vertical="center" indent="1"/>
    </xf>
    <xf numFmtId="0" fontId="39" fillId="0" borderId="0" xfId="2" applyFont="1" applyAlignment="1" applyProtection="1">
      <alignment vertical="center"/>
    </xf>
    <xf numFmtId="0" fontId="41" fillId="0" borderId="0" xfId="0" applyFont="1" applyAlignment="1">
      <alignment horizontal="center" vertical="center" wrapText="1"/>
    </xf>
    <xf numFmtId="58" fontId="28" fillId="0" borderId="3" xfId="0" applyNumberFormat="1" applyFont="1" applyBorder="1" applyAlignment="1">
      <alignment vertical="center"/>
    </xf>
    <xf numFmtId="58" fontId="28" fillId="0" borderId="3" xfId="0" applyNumberFormat="1" applyFont="1" applyBorder="1" applyAlignment="1">
      <alignment horizontal="left" vertical="center" indent="1"/>
    </xf>
    <xf numFmtId="0" fontId="28" fillId="0" borderId="12" xfId="0" applyFont="1" applyBorder="1" applyAlignment="1">
      <alignment horizontal="left" vertical="center" indent="1"/>
    </xf>
    <xf numFmtId="58" fontId="28" fillId="0" borderId="3" xfId="0" applyNumberFormat="1" applyFont="1" applyBorder="1" applyAlignment="1">
      <alignment horizontal="center" vertical="center"/>
    </xf>
    <xf numFmtId="49" fontId="28" fillId="0" borderId="10" xfId="0" applyNumberFormat="1" applyFont="1" applyBorder="1" applyAlignment="1">
      <alignment horizontal="center" vertical="center"/>
    </xf>
    <xf numFmtId="0" fontId="28" fillId="0" borderId="31" xfId="0" applyFont="1" applyBorder="1" applyAlignment="1">
      <alignment horizontal="left" vertical="center" wrapText="1"/>
    </xf>
    <xf numFmtId="0" fontId="37" fillId="0" borderId="0" xfId="0" applyFont="1" applyAlignment="1">
      <alignment horizontal="center" vertical="center" wrapText="1" shrinkToFit="1"/>
    </xf>
    <xf numFmtId="58" fontId="28" fillId="0" borderId="1" xfId="0" applyNumberFormat="1" applyFont="1" applyBorder="1" applyAlignment="1">
      <alignment vertical="center"/>
    </xf>
    <xf numFmtId="0" fontId="28" fillId="2" borderId="1" xfId="0" applyFont="1" applyFill="1" applyBorder="1" applyAlignment="1">
      <alignment horizontal="center" vertical="center"/>
    </xf>
    <xf numFmtId="0" fontId="28" fillId="2" borderId="3" xfId="0" applyFont="1" applyFill="1" applyBorder="1" applyAlignment="1">
      <alignment horizontal="center" vertical="center"/>
    </xf>
    <xf numFmtId="0" fontId="28" fillId="2" borderId="10" xfId="0" applyFont="1" applyFill="1" applyBorder="1" applyAlignment="1">
      <alignment horizontal="center" vertical="center"/>
    </xf>
    <xf numFmtId="0" fontId="28" fillId="2" borderId="12" xfId="0" applyFont="1" applyFill="1" applyBorder="1" applyAlignment="1">
      <alignment horizontal="center" vertical="center"/>
    </xf>
    <xf numFmtId="0" fontId="24" fillId="0" borderId="0" xfId="0" applyFont="1" applyAlignment="1">
      <alignment horizontal="center" vertical="center"/>
    </xf>
    <xf numFmtId="10" fontId="28" fillId="0" borderId="5" xfId="0" applyNumberFormat="1" applyFont="1" applyBorder="1" applyAlignment="1">
      <alignment horizontal="right" vertical="center"/>
    </xf>
    <xf numFmtId="10" fontId="28" fillId="0" borderId="5" xfId="0" applyNumberFormat="1" applyFont="1" applyBorder="1" applyAlignment="1">
      <alignment vertical="center"/>
    </xf>
    <xf numFmtId="10" fontId="28" fillId="0" borderId="10" xfId="0" applyNumberFormat="1" applyFont="1" applyBorder="1" applyAlignment="1">
      <alignment vertical="center"/>
    </xf>
    <xf numFmtId="0" fontId="28" fillId="0" borderId="14" xfId="0" applyFont="1" applyBorder="1"/>
    <xf numFmtId="0" fontId="24" fillId="0" borderId="14" xfId="0" applyFont="1" applyBorder="1"/>
    <xf numFmtId="0" fontId="24" fillId="0" borderId="10" xfId="0" applyFont="1" applyBorder="1" applyAlignment="1">
      <alignment vertical="center"/>
    </xf>
    <xf numFmtId="0" fontId="39" fillId="0" borderId="1" xfId="0" quotePrefix="1" applyFont="1" applyBorder="1" applyAlignment="1">
      <alignment horizontal="center" vertical="center"/>
    </xf>
    <xf numFmtId="0" fontId="39" fillId="0" borderId="2" xfId="0" quotePrefix="1" applyFont="1" applyBorder="1" applyAlignment="1">
      <alignment horizontal="center" vertical="center"/>
    </xf>
    <xf numFmtId="0" fontId="39" fillId="0" borderId="3" xfId="0" quotePrefix="1" applyFont="1" applyBorder="1" applyAlignment="1">
      <alignment horizontal="center" vertical="center"/>
    </xf>
    <xf numFmtId="0" fontId="28" fillId="0" borderId="0" xfId="0" applyFont="1" applyAlignment="1">
      <alignment vertical="center" shrinkToFi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11" xfId="0" applyFont="1" applyBorder="1" applyAlignment="1">
      <alignment horizontal="left" vertical="center" indent="1"/>
    </xf>
    <xf numFmtId="0" fontId="5" fillId="0" borderId="0" xfId="0" applyFont="1" applyAlignment="1">
      <alignment horizontal="left" vertical="center" indent="2"/>
    </xf>
    <xf numFmtId="180" fontId="28" fillId="0" borderId="7" xfId="0" applyNumberFormat="1" applyFont="1" applyBorder="1" applyAlignment="1">
      <alignment vertical="center"/>
    </xf>
    <xf numFmtId="180" fontId="28" fillId="0" borderId="12" xfId="0" applyNumberFormat="1" applyFont="1" applyBorder="1" applyAlignment="1">
      <alignment vertical="center"/>
    </xf>
    <xf numFmtId="177" fontId="28" fillId="0" borderId="11" xfId="0" applyNumberFormat="1" applyFont="1" applyBorder="1" applyAlignment="1">
      <alignment vertical="center"/>
    </xf>
    <xf numFmtId="177" fontId="28" fillId="0" borderId="12" xfId="0" applyNumberFormat="1" applyFont="1" applyBorder="1" applyAlignment="1">
      <alignment vertical="center"/>
    </xf>
    <xf numFmtId="0" fontId="5" fillId="0" borderId="6" xfId="0" applyFont="1" applyBorder="1" applyAlignment="1">
      <alignment vertical="center"/>
    </xf>
    <xf numFmtId="0" fontId="5" fillId="0" borderId="5" xfId="0" applyFont="1" applyBorder="1" applyAlignment="1">
      <alignment vertical="center"/>
    </xf>
    <xf numFmtId="0" fontId="5" fillId="0" borderId="11" xfId="0" applyFont="1" applyBorder="1" applyAlignment="1">
      <alignment vertical="center"/>
    </xf>
    <xf numFmtId="0" fontId="39" fillId="0" borderId="6" xfId="0" quotePrefix="1" applyFont="1" applyBorder="1" applyAlignment="1">
      <alignment vertical="center"/>
    </xf>
    <xf numFmtId="0" fontId="39" fillId="0" borderId="11" xfId="0" quotePrefix="1"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28" fillId="0" borderId="3" xfId="0" applyFont="1" applyBorder="1" applyAlignment="1">
      <alignment horizontal="center" vertical="center" shrinkToFit="1"/>
    </xf>
    <xf numFmtId="0" fontId="28" fillId="0" borderId="5" xfId="0" applyFont="1" applyBorder="1" applyAlignment="1">
      <alignment horizontal="left" vertical="center"/>
    </xf>
    <xf numFmtId="0" fontId="53" fillId="0" borderId="0" xfId="0" applyFont="1" applyAlignment="1">
      <alignment vertical="center"/>
    </xf>
    <xf numFmtId="0" fontId="28" fillId="2" borderId="6" xfId="0" applyFont="1" applyFill="1" applyBorder="1" applyAlignment="1">
      <alignment vertical="center"/>
    </xf>
    <xf numFmtId="10" fontId="28" fillId="2" borderId="7" xfId="0" applyNumberFormat="1" applyFont="1" applyFill="1" applyBorder="1" applyAlignment="1">
      <alignment horizontal="center" vertical="center"/>
    </xf>
    <xf numFmtId="0" fontId="28" fillId="6" borderId="11" xfId="0" applyFont="1" applyFill="1" applyBorder="1" applyAlignment="1">
      <alignment vertical="center"/>
    </xf>
    <xf numFmtId="10" fontId="28" fillId="6" borderId="12" xfId="0" applyNumberFormat="1" applyFont="1" applyFill="1" applyBorder="1" applyAlignment="1">
      <alignment horizontal="center" vertical="center"/>
    </xf>
    <xf numFmtId="0" fontId="28" fillId="0" borderId="0" xfId="0" applyFont="1" applyAlignment="1">
      <alignment horizontal="center" vertical="center" shrinkToFit="1"/>
    </xf>
    <xf numFmtId="182" fontId="28" fillId="0" borderId="0" xfId="0" applyNumberFormat="1" applyFont="1" applyAlignment="1">
      <alignment vertical="center"/>
    </xf>
    <xf numFmtId="0" fontId="54" fillId="0" borderId="0" xfId="0" applyFont="1" applyAlignment="1">
      <alignment vertical="center"/>
    </xf>
    <xf numFmtId="0" fontId="28" fillId="0" borderId="4" xfId="0" applyFont="1" applyBorder="1" applyAlignment="1">
      <alignment horizontal="left"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4" borderId="26" xfId="0" applyFont="1" applyFill="1" applyBorder="1" applyAlignment="1">
      <alignment horizontal="center" vertical="center" shrinkToFit="1"/>
    </xf>
    <xf numFmtId="0" fontId="28" fillId="4" borderId="28" xfId="0" applyFont="1" applyFill="1" applyBorder="1" applyAlignment="1">
      <alignment horizontal="center" vertical="center"/>
    </xf>
    <xf numFmtId="183" fontId="28" fillId="0" borderId="0" xfId="0" applyNumberFormat="1" applyFont="1" applyAlignment="1">
      <alignment vertical="center"/>
    </xf>
    <xf numFmtId="0" fontId="35" fillId="0" borderId="0" xfId="0" applyFont="1" applyAlignment="1">
      <alignment vertical="center"/>
    </xf>
    <xf numFmtId="178" fontId="28" fillId="0" borderId="3" xfId="0" applyNumberFormat="1" applyFont="1" applyBorder="1" applyAlignment="1">
      <alignment vertical="center"/>
    </xf>
    <xf numFmtId="178" fontId="28" fillId="0" borderId="12" xfId="0" applyNumberFormat="1" applyFont="1" applyBorder="1" applyAlignment="1">
      <alignment vertical="center"/>
    </xf>
    <xf numFmtId="14" fontId="28" fillId="0" borderId="0" xfId="0" applyNumberFormat="1" applyFont="1" applyAlignment="1">
      <alignment vertical="center" shrinkToFit="1"/>
    </xf>
    <xf numFmtId="0" fontId="28" fillId="0" borderId="32" xfId="0" applyFont="1" applyBorder="1" applyAlignment="1">
      <alignment vertical="center"/>
    </xf>
    <xf numFmtId="0" fontId="28" fillId="0" borderId="33" xfId="0" applyFont="1" applyBorder="1" applyAlignment="1">
      <alignment vertical="center"/>
    </xf>
    <xf numFmtId="14" fontId="28" fillId="0" borderId="11" xfId="0" applyNumberFormat="1" applyFont="1" applyBorder="1" applyAlignment="1">
      <alignment horizontal="center" vertical="center"/>
    </xf>
    <xf numFmtId="0" fontId="39" fillId="0" borderId="32" xfId="0" applyFont="1" applyBorder="1" applyAlignment="1">
      <alignment horizontal="center" vertical="center"/>
    </xf>
    <xf numFmtId="0" fontId="39" fillId="0" borderId="32" xfId="0" quotePrefix="1" applyFont="1" applyBorder="1" applyAlignment="1">
      <alignment vertical="center"/>
    </xf>
    <xf numFmtId="0" fontId="24" fillId="0" borderId="4" xfId="0" applyFont="1" applyBorder="1" applyAlignment="1">
      <alignment vertical="center"/>
    </xf>
    <xf numFmtId="0" fontId="24" fillId="0" borderId="9" xfId="0" applyFont="1" applyBorder="1" applyAlignment="1">
      <alignment vertical="center"/>
    </xf>
    <xf numFmtId="0" fontId="39" fillId="0" borderId="0" xfId="0" applyFont="1" applyAlignment="1">
      <alignment horizontal="left" vertical="center"/>
    </xf>
    <xf numFmtId="0" fontId="39" fillId="0" borderId="0" xfId="0" quotePrefix="1" applyFont="1" applyAlignment="1">
      <alignment horizontal="left" vertical="center"/>
    </xf>
    <xf numFmtId="0" fontId="28" fillId="0" borderId="6" xfId="0" applyFont="1" applyBorder="1" applyAlignment="1">
      <alignment horizontal="center" vertical="center" shrinkToFit="1"/>
    </xf>
    <xf numFmtId="0" fontId="28" fillId="0" borderId="7" xfId="0" applyFont="1" applyBorder="1" applyAlignment="1">
      <alignment horizontal="center" vertical="center" shrinkToFit="1"/>
    </xf>
    <xf numFmtId="14" fontId="28" fillId="0" borderId="6" xfId="0" applyNumberFormat="1" applyFont="1" applyBorder="1" applyAlignment="1">
      <alignment horizontal="center" vertical="center"/>
    </xf>
    <xf numFmtId="0" fontId="28" fillId="0" borderId="5" xfId="0" applyFont="1" applyBorder="1" applyAlignment="1">
      <alignment vertical="center" shrinkToFit="1"/>
    </xf>
    <xf numFmtId="0" fontId="28" fillId="0" borderId="32" xfId="0" applyFont="1" applyBorder="1" applyAlignment="1">
      <alignment horizontal="right" vertical="center" shrinkToFit="1"/>
    </xf>
    <xf numFmtId="0" fontId="39" fillId="0" borderId="29" xfId="0" quotePrefix="1" applyFont="1" applyBorder="1" applyAlignment="1">
      <alignment vertical="center"/>
    </xf>
    <xf numFmtId="0" fontId="39" fillId="0" borderId="35" xfId="0" applyFont="1" applyBorder="1" applyAlignment="1">
      <alignment vertical="center"/>
    </xf>
    <xf numFmtId="0" fontId="39" fillId="0" borderId="30" xfId="0" applyFont="1" applyBorder="1" applyAlignment="1">
      <alignment vertical="center"/>
    </xf>
    <xf numFmtId="0" fontId="28" fillId="0" borderId="34" xfId="0" applyFont="1" applyBorder="1" applyAlignment="1">
      <alignment vertical="center" shrinkToFit="1"/>
    </xf>
    <xf numFmtId="0" fontId="28" fillId="0" borderId="0" xfId="0" applyFont="1" applyAlignment="1">
      <alignment horizontal="right" vertical="center" shrinkToFit="1"/>
    </xf>
    <xf numFmtId="182" fontId="28" fillId="0" borderId="11" xfId="0" applyNumberFormat="1" applyFont="1" applyBorder="1" applyAlignment="1">
      <alignment vertical="center"/>
    </xf>
    <xf numFmtId="182" fontId="28" fillId="0" borderId="12" xfId="0" applyNumberFormat="1" applyFont="1" applyBorder="1" applyAlignment="1">
      <alignment vertical="center"/>
    </xf>
    <xf numFmtId="0" fontId="28" fillId="0" borderId="10" xfId="0" applyFont="1" applyBorder="1" applyAlignment="1">
      <alignment vertical="center" shrinkToFit="1"/>
    </xf>
    <xf numFmtId="183" fontId="28" fillId="0" borderId="11" xfId="0" applyNumberFormat="1" applyFont="1" applyBorder="1" applyAlignment="1">
      <alignment vertical="center"/>
    </xf>
    <xf numFmtId="0" fontId="55" fillId="7" borderId="1" xfId="0" applyFont="1" applyFill="1" applyBorder="1" applyAlignment="1">
      <alignment horizontal="center" vertical="center" wrapText="1"/>
    </xf>
    <xf numFmtId="0" fontId="55" fillId="7" borderId="2" xfId="0" applyFont="1" applyFill="1" applyBorder="1" applyAlignment="1">
      <alignment horizontal="center" vertical="center" wrapText="1"/>
    </xf>
    <xf numFmtId="0" fontId="55" fillId="7" borderId="3" xfId="0" applyFont="1" applyFill="1" applyBorder="1" applyAlignment="1">
      <alignment horizontal="center" vertical="center" wrapText="1"/>
    </xf>
    <xf numFmtId="0" fontId="55" fillId="7" borderId="10" xfId="0" applyFont="1" applyFill="1" applyBorder="1" applyAlignment="1">
      <alignment horizontal="center" vertical="center" wrapText="1"/>
    </xf>
    <xf numFmtId="0" fontId="55" fillId="7" borderId="11" xfId="0" applyFont="1" applyFill="1" applyBorder="1" applyAlignment="1">
      <alignment vertical="center" wrapText="1"/>
    </xf>
    <xf numFmtId="0" fontId="55" fillId="7" borderId="12" xfId="0" applyFont="1" applyFill="1" applyBorder="1" applyAlignment="1">
      <alignment horizontal="center" vertical="center" wrapText="1"/>
    </xf>
    <xf numFmtId="14" fontId="55" fillId="7" borderId="5" xfId="0" applyNumberFormat="1" applyFont="1" applyFill="1" applyBorder="1" applyAlignment="1">
      <alignment vertical="center" shrinkToFit="1"/>
    </xf>
    <xf numFmtId="0" fontId="55" fillId="7" borderId="6" xfId="0" applyFont="1" applyFill="1" applyBorder="1" applyAlignment="1">
      <alignment vertical="center" wrapText="1"/>
    </xf>
    <xf numFmtId="0" fontId="24" fillId="7" borderId="7" xfId="0" applyFont="1" applyFill="1" applyBorder="1" applyAlignment="1">
      <alignment vertical="center" wrapText="1"/>
    </xf>
    <xf numFmtId="14" fontId="55" fillId="7" borderId="10" xfId="0" applyNumberFormat="1" applyFont="1" applyFill="1" applyBorder="1" applyAlignment="1">
      <alignment vertical="center" shrinkToFit="1"/>
    </xf>
    <xf numFmtId="21" fontId="28" fillId="0" borderId="0" xfId="0" applyNumberFormat="1" applyFont="1" applyAlignment="1">
      <alignment vertical="center"/>
    </xf>
    <xf numFmtId="14" fontId="28" fillId="0" borderId="6" xfId="0" applyNumberFormat="1" applyFont="1" applyBorder="1" applyAlignment="1">
      <alignment horizontal="center" vertical="center" shrinkToFit="1"/>
    </xf>
    <xf numFmtId="0" fontId="28" fillId="0" borderId="36" xfId="0" applyFont="1" applyBorder="1" applyAlignment="1">
      <alignment vertical="center"/>
    </xf>
    <xf numFmtId="0" fontId="28" fillId="0" borderId="37" xfId="0" applyFont="1" applyBorder="1" applyAlignment="1">
      <alignment vertical="center"/>
    </xf>
    <xf numFmtId="14" fontId="28" fillId="0" borderId="5" xfId="0" applyNumberFormat="1" applyFont="1" applyBorder="1" applyAlignment="1">
      <alignment vertical="center" shrinkToFit="1"/>
    </xf>
    <xf numFmtId="14" fontId="5" fillId="0" borderId="0" xfId="0" applyNumberFormat="1" applyFont="1" applyAlignment="1">
      <alignment vertical="center" shrinkToFit="1"/>
    </xf>
    <xf numFmtId="14" fontId="28" fillId="0" borderId="10" xfId="0" applyNumberFormat="1" applyFont="1" applyBorder="1" applyAlignment="1">
      <alignment vertical="center"/>
    </xf>
    <xf numFmtId="14" fontId="28" fillId="0" borderId="11" xfId="0" applyNumberFormat="1" applyFont="1" applyBorder="1" applyAlignment="1">
      <alignment horizontal="center" vertical="center" shrinkToFit="1"/>
    </xf>
    <xf numFmtId="14" fontId="28" fillId="0" borderId="7" xfId="0" applyNumberFormat="1" applyFont="1" applyBorder="1" applyAlignment="1">
      <alignment horizontal="center" vertical="center"/>
    </xf>
    <xf numFmtId="14" fontId="28" fillId="0" borderId="7" xfId="0" applyNumberFormat="1" applyFont="1" applyBorder="1" applyAlignment="1">
      <alignment horizontal="center" vertical="center" shrinkToFit="1"/>
    </xf>
    <xf numFmtId="14" fontId="28" fillId="0" borderId="12" xfId="0" applyNumberFormat="1" applyFont="1" applyBorder="1" applyAlignment="1">
      <alignment horizontal="center" vertical="center"/>
    </xf>
    <xf numFmtId="14" fontId="28" fillId="0" borderId="12" xfId="0" applyNumberFormat="1" applyFont="1" applyBorder="1" applyAlignment="1">
      <alignment horizontal="center" vertical="center" shrinkToFit="1"/>
    </xf>
    <xf numFmtId="0" fontId="28" fillId="0" borderId="2" xfId="0" applyFont="1" applyBorder="1" applyAlignment="1">
      <alignment horizontal="center" vertical="center" shrinkToFit="1"/>
    </xf>
    <xf numFmtId="14" fontId="28" fillId="0" borderId="6" xfId="0" quotePrefix="1" applyNumberFormat="1" applyFont="1" applyBorder="1" applyAlignment="1">
      <alignment vertical="center"/>
    </xf>
    <xf numFmtId="14" fontId="28" fillId="0" borderId="7" xfId="0" applyNumberFormat="1" applyFont="1" applyBorder="1" applyAlignment="1">
      <alignment vertical="center"/>
    </xf>
    <xf numFmtId="0" fontId="28" fillId="0" borderId="11" xfId="0" quotePrefix="1" applyFont="1" applyBorder="1" applyAlignment="1">
      <alignment vertical="center"/>
    </xf>
    <xf numFmtId="14" fontId="28" fillId="0" borderId="9" xfId="0" quotePrefix="1" applyNumberFormat="1" applyFont="1" applyBorder="1" applyAlignment="1">
      <alignment vertical="center"/>
    </xf>
    <xf numFmtId="18" fontId="28" fillId="0" borderId="0" xfId="0" applyNumberFormat="1" applyFont="1" applyAlignment="1">
      <alignment vertical="center"/>
    </xf>
    <xf numFmtId="20" fontId="28" fillId="0" borderId="6" xfId="0" quotePrefix="1" applyNumberFormat="1" applyFont="1" applyBorder="1" applyAlignment="1">
      <alignment vertical="center"/>
    </xf>
    <xf numFmtId="0" fontId="28" fillId="0" borderId="6" xfId="0" applyFont="1" applyBorder="1" applyAlignment="1">
      <alignment vertical="center" shrinkToFit="1"/>
    </xf>
    <xf numFmtId="0" fontId="28" fillId="0" borderId="6" xfId="0" quotePrefix="1" applyFont="1" applyBorder="1" applyAlignment="1">
      <alignment vertical="center"/>
    </xf>
    <xf numFmtId="0" fontId="28" fillId="0" borderId="11" xfId="0" applyFont="1" applyBorder="1" applyAlignment="1">
      <alignment vertical="center" shrinkToFit="1"/>
    </xf>
    <xf numFmtId="0" fontId="28" fillId="0" borderId="4" xfId="0" applyFont="1" applyBorder="1" applyAlignment="1">
      <alignment horizontal="center" vertical="center" shrinkToFit="1"/>
    </xf>
    <xf numFmtId="0" fontId="28" fillId="0" borderId="9" xfId="0" quotePrefix="1" applyFont="1" applyBorder="1" applyAlignment="1">
      <alignment vertical="center"/>
    </xf>
    <xf numFmtId="14" fontId="28" fillId="0" borderId="6" xfId="0" applyNumberFormat="1" applyFont="1" applyBorder="1" applyAlignment="1">
      <alignment vertical="center"/>
    </xf>
    <xf numFmtId="14" fontId="28" fillId="0" borderId="7" xfId="0" applyNumberFormat="1" applyFont="1" applyBorder="1" applyAlignment="1">
      <alignment vertical="center" shrinkToFit="1"/>
    </xf>
    <xf numFmtId="14" fontId="28" fillId="0" borderId="11" xfId="0" applyNumberFormat="1" applyFont="1" applyBorder="1" applyAlignment="1">
      <alignment vertical="center"/>
    </xf>
    <xf numFmtId="14" fontId="28" fillId="0" borderId="12" xfId="0" applyNumberFormat="1" applyFont="1" applyBorder="1" applyAlignment="1">
      <alignment vertical="center"/>
    </xf>
    <xf numFmtId="182" fontId="28" fillId="0" borderId="6" xfId="0" applyNumberFormat="1" applyFont="1" applyBorder="1" applyAlignment="1">
      <alignment vertical="center"/>
    </xf>
    <xf numFmtId="0" fontId="28" fillId="0" borderId="26" xfId="0" applyFont="1" applyBorder="1" applyAlignment="1">
      <alignment vertical="center"/>
    </xf>
    <xf numFmtId="182" fontId="28" fillId="0" borderId="28" xfId="0" applyNumberFormat="1" applyFont="1" applyBorder="1" applyAlignment="1">
      <alignment vertical="center"/>
    </xf>
    <xf numFmtId="14" fontId="28" fillId="0" borderId="2" xfId="0" applyNumberFormat="1" applyFont="1" applyBorder="1" applyAlignment="1">
      <alignment horizontal="center" vertical="center"/>
    </xf>
    <xf numFmtId="14" fontId="28" fillId="0" borderId="3" xfId="0" applyNumberFormat="1" applyFont="1" applyBorder="1" applyAlignment="1">
      <alignment horizontal="center" vertical="center"/>
    </xf>
    <xf numFmtId="14" fontId="28" fillId="0" borderId="11" xfId="0" applyNumberFormat="1" applyFont="1" applyBorder="1" applyAlignment="1">
      <alignment vertical="center" shrinkToFit="1"/>
    </xf>
    <xf numFmtId="14" fontId="28" fillId="0" borderId="12" xfId="0" applyNumberFormat="1" applyFont="1" applyBorder="1" applyAlignment="1">
      <alignment vertical="center" shrinkToFit="1"/>
    </xf>
    <xf numFmtId="0" fontId="28" fillId="0" borderId="38" xfId="0" applyFont="1" applyBorder="1" applyAlignment="1">
      <alignment horizontal="center" vertical="center"/>
    </xf>
    <xf numFmtId="14" fontId="28" fillId="0" borderId="2" xfId="0" applyNumberFormat="1" applyFont="1" applyBorder="1" applyAlignment="1">
      <alignment vertical="center"/>
    </xf>
    <xf numFmtId="14" fontId="28" fillId="0" borderId="3" xfId="0" applyNumberFormat="1" applyFont="1" applyBorder="1" applyAlignment="1">
      <alignment vertical="center"/>
    </xf>
    <xf numFmtId="0" fontId="28" fillId="0" borderId="39" xfId="0" applyFont="1" applyBorder="1" applyAlignment="1">
      <alignment horizontal="center" vertical="center"/>
    </xf>
    <xf numFmtId="0" fontId="28" fillId="0" borderId="40" xfId="0" applyFont="1" applyBorder="1" applyAlignment="1">
      <alignment horizontal="center" vertical="center"/>
    </xf>
    <xf numFmtId="0" fontId="28" fillId="0" borderId="3" xfId="0" applyFont="1" applyBorder="1" applyAlignment="1">
      <alignment vertical="center" shrinkToFit="1"/>
    </xf>
    <xf numFmtId="58" fontId="28" fillId="0" borderId="6" xfId="0" applyNumberFormat="1" applyFont="1" applyBorder="1" applyAlignment="1">
      <alignment horizontal="center" vertical="center"/>
    </xf>
    <xf numFmtId="10" fontId="28" fillId="0" borderId="12" xfId="0" applyNumberFormat="1" applyFont="1" applyBorder="1" applyAlignment="1">
      <alignment vertical="center"/>
    </xf>
    <xf numFmtId="0" fontId="28" fillId="0" borderId="2" xfId="0" applyFont="1" applyBorder="1" applyAlignment="1">
      <alignment horizontal="center" vertical="center" wrapText="1"/>
    </xf>
    <xf numFmtId="0" fontId="28" fillId="0" borderId="2" xfId="0" applyFont="1" applyBorder="1" applyAlignment="1">
      <alignment horizontal="center" vertical="center" wrapText="1" shrinkToFit="1"/>
    </xf>
    <xf numFmtId="14" fontId="28" fillId="0" borderId="5" xfId="0" applyNumberFormat="1" applyFont="1" applyBorder="1" applyAlignment="1">
      <alignment horizontal="center" vertical="center"/>
    </xf>
    <xf numFmtId="0" fontId="28" fillId="0" borderId="12" xfId="0" applyFont="1" applyBorder="1" applyAlignment="1">
      <alignment vertical="center" shrinkToFit="1"/>
    </xf>
    <xf numFmtId="182" fontId="28" fillId="0" borderId="3" xfId="0" applyNumberFormat="1" applyFont="1" applyBorder="1" applyAlignment="1">
      <alignment vertical="center"/>
    </xf>
    <xf numFmtId="182" fontId="28" fillId="0" borderId="7" xfId="0" applyNumberFormat="1" applyFont="1" applyBorder="1" applyAlignment="1">
      <alignment horizontal="center" vertical="center"/>
    </xf>
    <xf numFmtId="0" fontId="59" fillId="0" borderId="0" xfId="0" applyFont="1" applyAlignment="1">
      <alignment vertical="center"/>
    </xf>
    <xf numFmtId="0" fontId="60" fillId="4" borderId="0" xfId="0" applyFont="1" applyFill="1" applyAlignment="1">
      <alignment horizontal="center" vertical="center"/>
    </xf>
    <xf numFmtId="0" fontId="38" fillId="4" borderId="41" xfId="2" applyFont="1" applyFill="1" applyBorder="1" applyAlignment="1" applyProtection="1">
      <alignment horizontal="center" vertical="center"/>
    </xf>
    <xf numFmtId="0" fontId="42" fillId="0" borderId="0" xfId="0" applyFont="1" applyAlignment="1">
      <alignment horizontal="center" vertical="center"/>
    </xf>
    <xf numFmtId="0" fontId="18" fillId="8" borderId="1" xfId="2" applyFont="1" applyFill="1" applyBorder="1" applyAlignment="1" applyProtection="1">
      <alignment horizontal="center" vertical="center"/>
    </xf>
    <xf numFmtId="0" fontId="18" fillId="8" borderId="2" xfId="2" applyFont="1" applyFill="1" applyBorder="1" applyAlignment="1" applyProtection="1">
      <alignment horizontal="center" vertical="center"/>
    </xf>
    <xf numFmtId="0" fontId="18" fillId="8" borderId="3" xfId="2" applyFont="1" applyFill="1" applyBorder="1" applyAlignment="1" applyProtection="1">
      <alignment horizontal="center" vertical="center"/>
    </xf>
    <xf numFmtId="0" fontId="18" fillId="8" borderId="10" xfId="2" applyFont="1" applyFill="1" applyBorder="1" applyAlignment="1" applyProtection="1">
      <alignment horizontal="center" vertical="center"/>
    </xf>
    <xf numFmtId="0" fontId="18" fillId="8" borderId="11" xfId="2" applyFont="1" applyFill="1" applyBorder="1" applyAlignment="1" applyProtection="1">
      <alignment horizontal="center" vertical="center"/>
    </xf>
    <xf numFmtId="0" fontId="18" fillId="8" borderId="12" xfId="2" applyFont="1" applyFill="1" applyBorder="1" applyAlignment="1" applyProtection="1">
      <alignment horizontal="center" vertical="center"/>
    </xf>
    <xf numFmtId="0" fontId="53" fillId="4" borderId="0" xfId="2" applyFont="1" applyFill="1" applyAlignment="1" applyProtection="1">
      <alignment horizontal="center"/>
    </xf>
    <xf numFmtId="0" fontId="37" fillId="4" borderId="42" xfId="2" applyFont="1" applyFill="1" applyBorder="1" applyAlignment="1" applyProtection="1">
      <alignment horizontal="center" vertical="center"/>
    </xf>
    <xf numFmtId="0" fontId="28" fillId="3" borderId="43" xfId="0" applyFont="1" applyFill="1" applyBorder="1"/>
    <xf numFmtId="0" fontId="28" fillId="3" borderId="43" xfId="0" applyFont="1" applyFill="1" applyBorder="1" applyAlignment="1">
      <alignment horizontal="left" vertical="center"/>
    </xf>
    <xf numFmtId="0" fontId="19" fillId="3" borderId="43" xfId="2" applyFont="1" applyFill="1" applyBorder="1" applyAlignment="1" applyProtection="1">
      <alignment horizontal="center" vertical="center"/>
    </xf>
    <xf numFmtId="0" fontId="28" fillId="3" borderId="0" xfId="0" applyFont="1" applyFill="1"/>
    <xf numFmtId="0" fontId="19" fillId="3" borderId="46" xfId="2" applyFont="1" applyFill="1" applyBorder="1" applyAlignment="1" applyProtection="1">
      <alignment horizontal="center" vertical="center"/>
    </xf>
    <xf numFmtId="0" fontId="19" fillId="3" borderId="44" xfId="2" applyFont="1" applyFill="1" applyBorder="1" applyAlignment="1" applyProtection="1">
      <alignment horizontal="center" vertical="center"/>
    </xf>
    <xf numFmtId="0" fontId="37" fillId="4" borderId="42" xfId="2" applyFont="1" applyFill="1" applyBorder="1" applyAlignment="1" applyProtection="1">
      <alignment vertical="center"/>
    </xf>
    <xf numFmtId="0" fontId="28" fillId="3" borderId="44" xfId="0" applyFont="1" applyFill="1" applyBorder="1"/>
    <xf numFmtId="0" fontId="28" fillId="4" borderId="45" xfId="0" applyFont="1" applyFill="1" applyBorder="1" applyAlignment="1">
      <alignment vertical="center"/>
    </xf>
    <xf numFmtId="0" fontId="37" fillId="4" borderId="0" xfId="2" applyFont="1" applyFill="1" applyBorder="1" applyAlignment="1" applyProtection="1">
      <alignment horizontal="center" vertical="center"/>
    </xf>
    <xf numFmtId="0" fontId="28" fillId="3" borderId="43" xfId="0" applyFont="1" applyFill="1" applyBorder="1" applyAlignment="1">
      <alignment horizontal="right" vertical="center"/>
    </xf>
    <xf numFmtId="0" fontId="40" fillId="3" borderId="43" xfId="0" applyFont="1" applyFill="1" applyBorder="1"/>
    <xf numFmtId="0" fontId="19" fillId="3" borderId="48" xfId="2" applyFont="1" applyFill="1" applyBorder="1" applyAlignment="1" applyProtection="1">
      <alignment horizontal="center" vertical="center"/>
    </xf>
    <xf numFmtId="0" fontId="28" fillId="4" borderId="45" xfId="0" applyFont="1" applyFill="1" applyBorder="1"/>
    <xf numFmtId="0" fontId="37" fillId="3" borderId="43" xfId="2" applyFont="1" applyFill="1" applyBorder="1" applyAlignment="1" applyProtection="1">
      <alignment horizontal="center" vertical="center"/>
    </xf>
    <xf numFmtId="0" fontId="37" fillId="3" borderId="46" xfId="2" applyFont="1" applyFill="1" applyBorder="1" applyAlignment="1" applyProtection="1">
      <alignment horizontal="center" vertical="center"/>
    </xf>
    <xf numFmtId="0" fontId="28" fillId="4" borderId="47" xfId="0" applyFont="1" applyFill="1" applyBorder="1"/>
    <xf numFmtId="0" fontId="40" fillId="3" borderId="0" xfId="0" applyFont="1" applyFill="1"/>
    <xf numFmtId="0" fontId="37" fillId="3" borderId="44" xfId="2" applyFont="1" applyFill="1" applyBorder="1" applyAlignment="1" applyProtection="1">
      <alignment horizontal="center" vertical="center"/>
    </xf>
    <xf numFmtId="0" fontId="5" fillId="3" borderId="43" xfId="0" applyFont="1" applyFill="1" applyBorder="1" applyAlignment="1">
      <alignment horizontal="center" vertical="center"/>
    </xf>
    <xf numFmtId="0" fontId="5" fillId="3" borderId="46" xfId="0" applyFont="1" applyFill="1" applyBorder="1" applyAlignment="1">
      <alignment horizontal="center" vertical="center"/>
    </xf>
    <xf numFmtId="0" fontId="28" fillId="3" borderId="46" xfId="0" applyFont="1" applyFill="1" applyBorder="1"/>
    <xf numFmtId="0" fontId="20" fillId="11" borderId="63" xfId="0" applyFont="1" applyFill="1" applyBorder="1" applyAlignment="1">
      <alignment horizontal="center" vertical="center"/>
    </xf>
    <xf numFmtId="0" fontId="20" fillId="11" borderId="64" xfId="0" applyFont="1" applyFill="1" applyBorder="1" applyAlignment="1">
      <alignment horizontal="center" vertical="center"/>
    </xf>
    <xf numFmtId="0" fontId="32" fillId="11" borderId="63" xfId="0" applyFont="1" applyFill="1" applyBorder="1" applyAlignment="1">
      <alignment horizontal="center" vertical="center"/>
    </xf>
    <xf numFmtId="0" fontId="32" fillId="11" borderId="64" xfId="0" applyFont="1" applyFill="1" applyBorder="1" applyAlignment="1">
      <alignment horizontal="center" vertical="center"/>
    </xf>
    <xf numFmtId="0" fontId="20" fillId="11" borderId="65" xfId="0" applyFont="1" applyFill="1" applyBorder="1" applyAlignment="1">
      <alignment horizontal="center" vertical="center"/>
    </xf>
    <xf numFmtId="0" fontId="20" fillId="11" borderId="66" xfId="0" applyFont="1" applyFill="1" applyBorder="1" applyAlignment="1">
      <alignment horizontal="center" vertical="center"/>
    </xf>
    <xf numFmtId="0" fontId="11" fillId="10" borderId="0" xfId="0" applyFont="1" applyFill="1" applyAlignment="1">
      <alignment horizontal="center" vertical="center"/>
    </xf>
    <xf numFmtId="0" fontId="14" fillId="12" borderId="46" xfId="0" applyFont="1" applyFill="1" applyBorder="1" applyAlignment="1">
      <alignment horizontal="center" vertical="center"/>
    </xf>
    <xf numFmtId="0" fontId="18" fillId="10" borderId="43" xfId="0" applyFont="1" applyFill="1" applyBorder="1" applyAlignment="1">
      <alignment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6" fillId="10" borderId="44" xfId="0" applyFont="1" applyFill="1" applyBorder="1" applyAlignment="1">
      <alignment horizontal="center" vertical="center"/>
    </xf>
    <xf numFmtId="0" fontId="8" fillId="4" borderId="46" xfId="0" applyFont="1" applyFill="1" applyBorder="1" applyAlignment="1">
      <alignment horizontal="center" vertical="center"/>
    </xf>
    <xf numFmtId="0" fontId="28" fillId="3" borderId="46" xfId="0" applyFont="1" applyFill="1" applyBorder="1" applyAlignment="1">
      <alignment horizontal="left" vertical="center"/>
    </xf>
    <xf numFmtId="0" fontId="28" fillId="3" borderId="44" xfId="0" applyFont="1" applyFill="1" applyBorder="1" applyAlignment="1">
      <alignment horizontal="left" vertical="center"/>
    </xf>
    <xf numFmtId="0" fontId="28" fillId="4" borderId="33" xfId="0" applyFont="1" applyFill="1" applyBorder="1" applyAlignment="1">
      <alignment horizontal="left" vertical="center"/>
    </xf>
    <xf numFmtId="0" fontId="28" fillId="4" borderId="25" xfId="0" applyFont="1" applyFill="1" applyBorder="1" applyAlignment="1">
      <alignment horizontal="left" vertical="center"/>
    </xf>
    <xf numFmtId="0" fontId="53" fillId="4" borderId="42" xfId="0" applyFont="1" applyFill="1" applyBorder="1" applyAlignment="1">
      <alignment horizontal="center" vertical="center"/>
    </xf>
    <xf numFmtId="0" fontId="28" fillId="3" borderId="43" xfId="0" applyFont="1" applyFill="1" applyBorder="1" applyAlignment="1">
      <alignment horizontal="left" vertical="center"/>
    </xf>
    <xf numFmtId="0" fontId="28" fillId="3" borderId="48" xfId="0" applyFont="1" applyFill="1" applyBorder="1" applyAlignment="1">
      <alignment horizontal="left" vertical="center"/>
    </xf>
    <xf numFmtId="0" fontId="28" fillId="4" borderId="0" xfId="0" applyFont="1" applyFill="1" applyAlignment="1">
      <alignment horizontal="left" vertical="center"/>
    </xf>
    <xf numFmtId="0" fontId="26" fillId="3" borderId="43" xfId="0" applyFont="1" applyFill="1" applyBorder="1" applyAlignment="1">
      <alignment horizontal="left" vertical="center"/>
    </xf>
    <xf numFmtId="0" fontId="40" fillId="3" borderId="46" xfId="0" applyFont="1" applyFill="1" applyBorder="1" applyAlignment="1">
      <alignment horizontal="left" vertical="center" wrapText="1"/>
    </xf>
    <xf numFmtId="0" fontId="40" fillId="3" borderId="46" xfId="0" applyFont="1" applyFill="1" applyBorder="1" applyAlignment="1">
      <alignment horizontal="left" vertical="center"/>
    </xf>
    <xf numFmtId="0" fontId="28" fillId="3" borderId="69" xfId="0" applyFont="1" applyFill="1" applyBorder="1" applyAlignment="1">
      <alignment vertical="center" wrapText="1"/>
    </xf>
    <xf numFmtId="0" fontId="28" fillId="3" borderId="46" xfId="0" applyFont="1" applyFill="1" applyBorder="1" applyAlignment="1">
      <alignment vertical="center"/>
    </xf>
    <xf numFmtId="0" fontId="28" fillId="4" borderId="33" xfId="0" applyFont="1" applyFill="1" applyBorder="1" applyAlignment="1">
      <alignment horizontal="center" vertical="center"/>
    </xf>
    <xf numFmtId="0" fontId="28" fillId="4" borderId="25" xfId="0" applyFont="1" applyFill="1" applyBorder="1" applyAlignment="1">
      <alignment horizontal="center" vertical="center"/>
    </xf>
    <xf numFmtId="0" fontId="28" fillId="3" borderId="48" xfId="0" applyFont="1" applyFill="1" applyBorder="1" applyAlignment="1">
      <alignment vertical="center"/>
    </xf>
    <xf numFmtId="0" fontId="53" fillId="4" borderId="0" xfId="0" applyFont="1" applyFill="1" applyAlignment="1">
      <alignment horizontal="center" vertical="center"/>
    </xf>
    <xf numFmtId="0" fontId="28" fillId="3" borderId="43" xfId="0" applyFont="1" applyFill="1" applyBorder="1" applyAlignment="1">
      <alignment vertical="center"/>
    </xf>
    <xf numFmtId="0" fontId="28" fillId="0" borderId="25" xfId="0" applyFont="1" applyBorder="1"/>
    <xf numFmtId="0" fontId="53" fillId="4" borderId="70" xfId="0" applyFont="1" applyFill="1" applyBorder="1" applyAlignment="1">
      <alignment horizontal="center" vertical="center"/>
    </xf>
    <xf numFmtId="0" fontId="58" fillId="9" borderId="71" xfId="0" applyFont="1" applyFill="1" applyBorder="1" applyAlignment="1">
      <alignment horizontal="center" vertical="center"/>
    </xf>
    <xf numFmtId="0" fontId="58" fillId="9" borderId="49" xfId="0" applyFont="1" applyFill="1" applyBorder="1" applyAlignment="1">
      <alignment horizontal="center" vertical="center"/>
    </xf>
    <xf numFmtId="0" fontId="58" fillId="9" borderId="72" xfId="0" applyFont="1" applyFill="1" applyBorder="1" applyAlignment="1">
      <alignment horizontal="center" vertical="center"/>
    </xf>
    <xf numFmtId="0" fontId="61" fillId="4" borderId="41" xfId="0" applyFont="1" applyFill="1" applyBorder="1" applyAlignment="1">
      <alignment horizontal="center" vertical="center"/>
    </xf>
    <xf numFmtId="0" fontId="60" fillId="4" borderId="41" xfId="0" applyFont="1" applyFill="1" applyBorder="1" applyAlignment="1">
      <alignment horizontal="center" vertical="center"/>
    </xf>
    <xf numFmtId="0" fontId="39" fillId="0" borderId="32" xfId="0" applyFont="1" applyBorder="1" applyAlignment="1">
      <alignment horizontal="left" vertical="center"/>
    </xf>
    <xf numFmtId="0" fontId="39" fillId="0" borderId="0" xfId="0" applyFont="1" applyAlignment="1">
      <alignment horizontal="left" vertical="center"/>
    </xf>
    <xf numFmtId="0" fontId="28" fillId="0" borderId="75" xfId="0" applyFont="1" applyBorder="1" applyAlignment="1">
      <alignment horizontal="center" vertical="center"/>
    </xf>
    <xf numFmtId="0" fontId="28" fillId="0" borderId="13" xfId="0" applyFont="1" applyBorder="1" applyAlignment="1">
      <alignment horizontal="center" vertical="center"/>
    </xf>
    <xf numFmtId="0" fontId="28" fillId="0" borderId="1" xfId="0" applyFont="1" applyBorder="1" applyAlignment="1">
      <alignment horizontal="center" vertical="center"/>
    </xf>
    <xf numFmtId="0" fontId="28" fillId="0" borderId="5" xfId="0" applyFont="1" applyBorder="1" applyAlignment="1">
      <alignment horizontal="center" vertical="center"/>
    </xf>
    <xf numFmtId="0" fontId="28" fillId="0" borderId="10" xfId="0" applyFont="1" applyBorder="1" applyAlignment="1">
      <alignment horizontal="center" vertical="center"/>
    </xf>
    <xf numFmtId="0" fontId="57" fillId="0" borderId="73" xfId="0" applyFont="1" applyBorder="1" applyAlignment="1">
      <alignment horizontal="center" vertical="center"/>
    </xf>
    <xf numFmtId="0" fontId="57" fillId="0" borderId="76" xfId="0" applyFont="1" applyBorder="1" applyAlignment="1">
      <alignment horizontal="center" vertical="center"/>
    </xf>
    <xf numFmtId="0" fontId="57" fillId="0" borderId="74" xfId="0" applyFont="1" applyBorder="1" applyAlignment="1">
      <alignment horizontal="center" vertical="center"/>
    </xf>
    <xf numFmtId="0" fontId="28" fillId="0" borderId="6" xfId="0" applyFont="1" applyBorder="1" applyAlignment="1">
      <alignment horizontal="center" vertical="center"/>
    </xf>
    <xf numFmtId="0" fontId="28" fillId="0" borderId="11" xfId="0" applyFont="1" applyBorder="1" applyAlignment="1">
      <alignment horizontal="center" vertical="center"/>
    </xf>
    <xf numFmtId="0" fontId="28" fillId="0" borderId="77" xfId="0" applyFont="1" applyBorder="1" applyAlignment="1">
      <alignment horizontal="center" vertical="center"/>
    </xf>
    <xf numFmtId="0" fontId="28" fillId="0" borderId="78" xfId="0" applyFont="1" applyBorder="1" applyAlignment="1">
      <alignment horizontal="center" vertical="center"/>
    </xf>
    <xf numFmtId="0" fontId="28" fillId="0" borderId="79" xfId="0" applyFont="1" applyBorder="1" applyAlignment="1">
      <alignment horizontal="center" vertical="center"/>
    </xf>
    <xf numFmtId="0" fontId="28" fillId="0" borderId="0" xfId="0" applyFont="1" applyAlignment="1">
      <alignment horizontal="left" vertical="center" wrapText="1"/>
    </xf>
    <xf numFmtId="0" fontId="38" fillId="6" borderId="80" xfId="0" applyFont="1" applyFill="1" applyBorder="1" applyAlignment="1">
      <alignment horizontal="center" vertical="center" shrinkToFit="1"/>
    </xf>
    <xf numFmtId="0" fontId="38" fillId="6" borderId="81" xfId="0" applyFont="1" applyFill="1" applyBorder="1" applyAlignment="1">
      <alignment horizontal="center" vertical="center" shrinkToFit="1"/>
    </xf>
    <xf numFmtId="0" fontId="37" fillId="0" borderId="0" xfId="0" applyFont="1" applyAlignment="1">
      <alignment horizontal="center" vertical="center" shrinkToFit="1"/>
    </xf>
    <xf numFmtId="0" fontId="28" fillId="0" borderId="0" xfId="0" applyFont="1" applyAlignment="1">
      <alignment horizontal="left" vertical="center"/>
    </xf>
    <xf numFmtId="0" fontId="33" fillId="6" borderId="80" xfId="0" applyFont="1" applyFill="1" applyBorder="1" applyAlignment="1">
      <alignment horizontal="center" vertical="top" shrinkToFit="1"/>
    </xf>
    <xf numFmtId="0" fontId="33" fillId="6" borderId="81" xfId="0" applyFont="1" applyFill="1" applyBorder="1" applyAlignment="1">
      <alignment horizontal="center" vertical="top" shrinkToFit="1"/>
    </xf>
    <xf numFmtId="0" fontId="19" fillId="0" borderId="0" xfId="2" applyFont="1" applyAlignment="1" applyProtection="1">
      <alignment horizontal="center"/>
    </xf>
    <xf numFmtId="0" fontId="34" fillId="0" borderId="0" xfId="2" applyFont="1" applyAlignment="1" applyProtection="1">
      <alignment horizontal="center"/>
    </xf>
    <xf numFmtId="0" fontId="35" fillId="0" borderId="0" xfId="0" applyFont="1" applyAlignment="1">
      <alignment horizontal="center" vertical="center"/>
    </xf>
    <xf numFmtId="0" fontId="36" fillId="0" borderId="0" xfId="0" applyFont="1" applyAlignment="1">
      <alignment horizontal="left"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37" xfId="0" applyFont="1" applyBorder="1" applyAlignment="1">
      <alignment horizontal="center" vertical="center"/>
    </xf>
    <xf numFmtId="0" fontId="58" fillId="0" borderId="73" xfId="0" applyFont="1" applyBorder="1" applyAlignment="1">
      <alignment horizontal="center" vertical="center"/>
    </xf>
    <xf numFmtId="0" fontId="58" fillId="0" borderId="74" xfId="0" applyFont="1" applyBorder="1" applyAlignment="1">
      <alignment horizontal="center" vertical="center"/>
    </xf>
    <xf numFmtId="0" fontId="28" fillId="0" borderId="0" xfId="0" applyFont="1" applyAlignment="1">
      <alignment vertical="center" wrapText="1"/>
    </xf>
    <xf numFmtId="0" fontId="28" fillId="0" borderId="0" xfId="0" applyFont="1" applyAlignment="1">
      <alignment horizontal="left"/>
    </xf>
    <xf numFmtId="0" fontId="39" fillId="0" borderId="32" xfId="0" applyFont="1" applyBorder="1" applyAlignment="1">
      <alignment horizontal="center" vertical="center"/>
    </xf>
    <xf numFmtId="0" fontId="39" fillId="0" borderId="0" xfId="0" applyFont="1" applyAlignment="1">
      <alignment horizontal="center" vertical="center"/>
    </xf>
    <xf numFmtId="0" fontId="39" fillId="0" borderId="0" xfId="0" quotePrefix="1" applyFont="1" applyAlignment="1">
      <alignment vertical="center" shrinkToFit="1"/>
    </xf>
    <xf numFmtId="0" fontId="39" fillId="0" borderId="0" xfId="0" applyFont="1" applyAlignment="1">
      <alignment vertical="center" shrinkToFit="1"/>
    </xf>
    <xf numFmtId="0" fontId="39" fillId="0" borderId="32" xfId="0" quotePrefix="1" applyFont="1" applyBorder="1" applyAlignment="1">
      <alignment vertical="center"/>
    </xf>
    <xf numFmtId="0" fontId="39" fillId="0" borderId="0" xfId="0" applyFont="1" applyAlignment="1">
      <alignment vertical="center"/>
    </xf>
    <xf numFmtId="0" fontId="39" fillId="0" borderId="0" xfId="0" quotePrefix="1" applyFont="1" applyAlignment="1">
      <alignment vertical="center"/>
    </xf>
    <xf numFmtId="0" fontId="28" fillId="0" borderId="0" xfId="0" applyFont="1" applyAlignment="1">
      <alignment horizontal="center" vertical="center"/>
    </xf>
    <xf numFmtId="0" fontId="42" fillId="0" borderId="0" xfId="0" applyFont="1" applyAlignment="1">
      <alignment horizontal="left" vertical="center"/>
    </xf>
    <xf numFmtId="22" fontId="28" fillId="0" borderId="0" xfId="0" applyNumberFormat="1" applyFont="1" applyAlignment="1">
      <alignment horizontal="center" vertical="center"/>
    </xf>
    <xf numFmtId="14" fontId="28" fillId="0" borderId="10" xfId="0" applyNumberFormat="1" applyFont="1" applyBorder="1" applyAlignment="1">
      <alignment horizontal="center" vertical="center"/>
    </xf>
    <xf numFmtId="14" fontId="28" fillId="0" borderId="11" xfId="0" applyNumberFormat="1" applyFont="1" applyBorder="1" applyAlignment="1">
      <alignment horizontal="center" vertical="center"/>
    </xf>
    <xf numFmtId="14" fontId="28" fillId="0" borderId="11" xfId="0" applyNumberFormat="1" applyFont="1" applyBorder="1" applyAlignment="1">
      <alignment horizontal="center" vertical="center" shrinkToFit="1"/>
    </xf>
    <xf numFmtId="0" fontId="28" fillId="0" borderId="11" xfId="0" applyFont="1" applyBorder="1" applyAlignment="1">
      <alignment horizontal="center" vertical="center" shrinkToFit="1"/>
    </xf>
    <xf numFmtId="0" fontId="28" fillId="0" borderId="12" xfId="0" applyFont="1" applyBorder="1" applyAlignment="1">
      <alignment horizontal="center" vertical="center" shrinkToFit="1"/>
    </xf>
    <xf numFmtId="0" fontId="28" fillId="0" borderId="82" xfId="0" applyFont="1" applyBorder="1" applyAlignment="1">
      <alignment horizontal="center" vertical="center"/>
    </xf>
    <xf numFmtId="0" fontId="28" fillId="0" borderId="83" xfId="0" applyFont="1" applyBorder="1" applyAlignment="1">
      <alignment horizontal="center" vertical="center"/>
    </xf>
    <xf numFmtId="0" fontId="28" fillId="0" borderId="29" xfId="0" applyFont="1" applyBorder="1" applyAlignment="1">
      <alignment horizontal="center" vertical="center"/>
    </xf>
    <xf numFmtId="0" fontId="28" fillId="0" borderId="30"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86" xfId="0" applyFont="1" applyBorder="1" applyAlignment="1">
      <alignment horizontal="center" vertical="center"/>
    </xf>
    <xf numFmtId="0" fontId="28" fillId="0" borderId="87" xfId="0" applyFont="1" applyBorder="1" applyAlignment="1">
      <alignment horizontal="center" vertical="center"/>
    </xf>
    <xf numFmtId="31" fontId="28" fillId="0" borderId="1" xfId="0" applyNumberFormat="1" applyFont="1" applyBorder="1" applyAlignment="1">
      <alignment horizontal="center" vertical="center"/>
    </xf>
    <xf numFmtId="31" fontId="28" fillId="0" borderId="2" xfId="0" applyNumberFormat="1" applyFont="1" applyBorder="1" applyAlignment="1">
      <alignment horizontal="center" vertical="center"/>
    </xf>
    <xf numFmtId="31" fontId="28" fillId="0" borderId="5" xfId="0" applyNumberFormat="1" applyFont="1" applyBorder="1" applyAlignment="1">
      <alignment horizontal="center" vertical="center"/>
    </xf>
    <xf numFmtId="31" fontId="28" fillId="0" borderId="6" xfId="0" applyNumberFormat="1" applyFont="1" applyBorder="1" applyAlignment="1">
      <alignment horizontal="center" vertical="center"/>
    </xf>
    <xf numFmtId="14" fontId="28" fillId="0" borderId="5" xfId="0" applyNumberFormat="1" applyFont="1" applyBorder="1" applyAlignment="1">
      <alignment horizontal="center" vertical="center" shrinkToFit="1"/>
    </xf>
    <xf numFmtId="14" fontId="28" fillId="0" borderId="6" xfId="0" applyNumberFormat="1" applyFont="1" applyBorder="1" applyAlignment="1">
      <alignment horizontal="center" vertical="center" shrinkToFit="1"/>
    </xf>
    <xf numFmtId="14" fontId="28" fillId="0" borderId="10" xfId="0" quotePrefix="1" applyNumberFormat="1" applyFont="1" applyBorder="1" applyAlignment="1">
      <alignment horizontal="center" vertical="center"/>
    </xf>
    <xf numFmtId="0" fontId="28" fillId="0" borderId="1" xfId="0" applyFont="1" applyBorder="1" applyAlignment="1">
      <alignment horizontal="right" vertical="center"/>
    </xf>
    <xf numFmtId="0" fontId="28" fillId="0" borderId="2" xfId="0" applyFont="1" applyBorder="1" applyAlignment="1">
      <alignment horizontal="right" vertical="center"/>
    </xf>
    <xf numFmtId="0" fontId="9" fillId="0" borderId="25" xfId="0" applyFont="1" applyBorder="1" applyAlignment="1">
      <alignment horizontal="center"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6" xfId="0" quotePrefix="1" applyFont="1" applyBorder="1" applyAlignment="1">
      <alignment horizontal="left"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28" fillId="0" borderId="0" xfId="0" applyFont="1" applyAlignment="1">
      <alignment vertical="center"/>
    </xf>
    <xf numFmtId="14" fontId="28" fillId="0" borderId="0" xfId="0" applyNumberFormat="1" applyFont="1" applyAlignment="1">
      <alignment vertical="center"/>
    </xf>
    <xf numFmtId="14" fontId="28" fillId="0" borderId="0" xfId="0" applyNumberFormat="1" applyFont="1" applyAlignment="1">
      <alignment vertical="center" shrinkToFit="1"/>
    </xf>
    <xf numFmtId="0" fontId="39" fillId="0" borderId="0" xfId="0" quotePrefix="1" applyFont="1" applyAlignment="1">
      <alignment horizontal="right" vertical="center"/>
    </xf>
    <xf numFmtId="0" fontId="39" fillId="0" borderId="0" xfId="0" applyFont="1" applyAlignment="1">
      <alignment horizontal="right" vertical="center"/>
    </xf>
    <xf numFmtId="0" fontId="28" fillId="0" borderId="6" xfId="0" applyFont="1" applyBorder="1" applyAlignment="1">
      <alignment vertical="center"/>
    </xf>
    <xf numFmtId="0" fontId="28" fillId="0" borderId="7" xfId="0" applyFont="1" applyBorder="1" applyAlignment="1">
      <alignment vertical="center"/>
    </xf>
    <xf numFmtId="0" fontId="28" fillId="0" borderId="11" xfId="0" applyFont="1" applyBorder="1" applyAlignment="1">
      <alignment vertical="center"/>
    </xf>
    <xf numFmtId="0" fontId="28" fillId="0" borderId="12" xfId="0" applyFont="1" applyBorder="1" applyAlignment="1">
      <alignment vertical="center"/>
    </xf>
    <xf numFmtId="0" fontId="28" fillId="0" borderId="2" xfId="0" applyFont="1" applyBorder="1" applyAlignment="1">
      <alignment vertical="center"/>
    </xf>
    <xf numFmtId="0" fontId="28" fillId="0" borderId="3" xfId="0" applyFont="1" applyBorder="1" applyAlignment="1">
      <alignment vertical="center"/>
    </xf>
    <xf numFmtId="0" fontId="28" fillId="0" borderId="10" xfId="0" applyFont="1" applyBorder="1" applyAlignment="1">
      <alignment horizontal="left" vertical="center"/>
    </xf>
    <xf numFmtId="0" fontId="28" fillId="0" borderId="11" xfId="0" applyFont="1" applyBorder="1" applyAlignment="1">
      <alignment horizontal="left" vertical="center"/>
    </xf>
    <xf numFmtId="0" fontId="22" fillId="0" borderId="75" xfId="0" applyFont="1" applyBorder="1" applyAlignment="1">
      <alignment horizontal="center" vertical="center"/>
    </xf>
    <xf numFmtId="0" fontId="22" fillId="0" borderId="37" xfId="0" applyFont="1" applyBorder="1" applyAlignment="1">
      <alignment horizontal="center" vertical="center"/>
    </xf>
    <xf numFmtId="0" fontId="22" fillId="0" borderId="13" xfId="0" applyFont="1" applyBorder="1" applyAlignment="1">
      <alignment horizontal="center" vertical="center"/>
    </xf>
    <xf numFmtId="0" fontId="28" fillId="0" borderId="25" xfId="0" applyFont="1" applyBorder="1" applyAlignment="1">
      <alignment horizontal="center" vertical="center"/>
    </xf>
    <xf numFmtId="0" fontId="28" fillId="0" borderId="5" xfId="0" applyFont="1" applyBorder="1" applyAlignment="1">
      <alignment horizontal="center"/>
    </xf>
    <xf numFmtId="0" fontId="28" fillId="0" borderId="6" xfId="0" applyFont="1" applyBorder="1" applyAlignment="1">
      <alignment horizontal="center"/>
    </xf>
    <xf numFmtId="0" fontId="28" fillId="0" borderId="36" xfId="0" applyFont="1" applyBorder="1" applyAlignment="1">
      <alignment horizontal="center" vertical="center"/>
    </xf>
    <xf numFmtId="0" fontId="28" fillId="0" borderId="89" xfId="0" applyFont="1" applyBorder="1" applyAlignment="1">
      <alignment horizontal="center" vertical="center"/>
    </xf>
    <xf numFmtId="0" fontId="28" fillId="0" borderId="88" xfId="0" applyFont="1" applyBorder="1" applyAlignment="1">
      <alignment vertical="center"/>
    </xf>
    <xf numFmtId="0" fontId="28" fillId="0" borderId="35"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5" fillId="0" borderId="25" xfId="0" applyFont="1" applyBorder="1" applyAlignment="1">
      <alignment horizontal="center" vertical="center"/>
    </xf>
    <xf numFmtId="0" fontId="28" fillId="0" borderId="90" xfId="0" applyFont="1" applyBorder="1" applyAlignment="1">
      <alignment horizontal="left" vertical="center"/>
    </xf>
    <xf numFmtId="0" fontId="28" fillId="0" borderId="25" xfId="0" applyFont="1" applyBorder="1" applyAlignment="1">
      <alignment horizontal="left" vertical="center"/>
    </xf>
    <xf numFmtId="0" fontId="28" fillId="0" borderId="91" xfId="0" applyFont="1" applyBorder="1" applyAlignment="1">
      <alignment horizontal="left" vertical="center"/>
    </xf>
    <xf numFmtId="0" fontId="28" fillId="0" borderId="0" xfId="0" applyFont="1" applyAlignment="1">
      <alignment horizontal="center" vertical="center" shrinkToFit="1"/>
    </xf>
    <xf numFmtId="0" fontId="41" fillId="0" borderId="92" xfId="0" applyFont="1" applyBorder="1" applyAlignment="1">
      <alignment horizontal="center" vertical="center"/>
    </xf>
    <xf numFmtId="0" fontId="41" fillId="0" borderId="42" xfId="0" applyFont="1" applyBorder="1" applyAlignment="1">
      <alignment horizontal="center" vertical="center"/>
    </xf>
    <xf numFmtId="0" fontId="41" fillId="0" borderId="93" xfId="0" applyFont="1" applyBorder="1" applyAlignment="1">
      <alignment horizontal="center" vertical="center"/>
    </xf>
    <xf numFmtId="0" fontId="26" fillId="0" borderId="0" xfId="0" applyFont="1" applyAlignment="1">
      <alignment vertical="center" wrapText="1"/>
    </xf>
    <xf numFmtId="0" fontId="24" fillId="0" borderId="0" xfId="0" applyFont="1" applyAlignment="1">
      <alignment horizontal="center" vertical="center" wrapText="1"/>
    </xf>
    <xf numFmtId="0" fontId="39" fillId="0" borderId="0" xfId="0" quotePrefix="1" applyFont="1" applyAlignment="1">
      <alignment vertical="center" wrapText="1"/>
    </xf>
    <xf numFmtId="0" fontId="39" fillId="0" borderId="0" xfId="0" applyFont="1" applyAlignment="1">
      <alignment vertical="center" wrapText="1"/>
    </xf>
    <xf numFmtId="0" fontId="28" fillId="2" borderId="5" xfId="0" applyFont="1" applyFill="1" applyBorder="1" applyAlignment="1">
      <alignment horizontal="center" vertical="center"/>
    </xf>
    <xf numFmtId="0" fontId="28" fillId="2" borderId="6" xfId="0" applyFont="1" applyFill="1" applyBorder="1" applyAlignment="1">
      <alignment horizontal="center" vertical="center"/>
    </xf>
    <xf numFmtId="0" fontId="28" fillId="6" borderId="10" xfId="0" applyFont="1" applyFill="1" applyBorder="1" applyAlignment="1">
      <alignment horizontal="center" vertical="center"/>
    </xf>
    <xf numFmtId="0" fontId="28" fillId="6" borderId="11" xfId="0" applyFont="1" applyFill="1" applyBorder="1" applyAlignment="1">
      <alignment horizontal="center" vertical="center"/>
    </xf>
    <xf numFmtId="0" fontId="28" fillId="0" borderId="5" xfId="0" applyFont="1" applyBorder="1" applyAlignment="1">
      <alignment horizontal="center" vertical="center" wrapText="1"/>
    </xf>
    <xf numFmtId="0" fontId="28" fillId="0" borderId="6" xfId="0" applyFont="1" applyBorder="1" applyAlignment="1">
      <alignment horizontal="center" vertical="center" wrapText="1"/>
    </xf>
    <xf numFmtId="0" fontId="23" fillId="0" borderId="0" xfId="0" applyFont="1" applyAlignment="1">
      <alignment horizontal="center" vertical="center" wrapText="1"/>
    </xf>
    <xf numFmtId="0" fontId="28" fillId="0" borderId="5" xfId="0" applyFont="1" applyBorder="1" applyAlignment="1">
      <alignment horizontal="left" vertical="center"/>
    </xf>
    <xf numFmtId="0" fontId="28" fillId="0" borderId="6" xfId="0" applyFont="1" applyBorder="1" applyAlignment="1">
      <alignment horizontal="left" vertical="center"/>
    </xf>
    <xf numFmtId="0" fontId="28" fillId="0" borderId="7" xfId="0" applyFont="1" applyBorder="1" applyAlignment="1">
      <alignment horizontal="center"/>
    </xf>
    <xf numFmtId="0" fontId="28" fillId="0" borderId="11" xfId="0" applyFont="1" applyBorder="1" applyAlignment="1">
      <alignment horizontal="center"/>
    </xf>
    <xf numFmtId="0" fontId="28" fillId="0" borderId="12" xfId="0" applyFont="1" applyBorder="1" applyAlignment="1">
      <alignment horizont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0" fontId="28" fillId="0" borderId="1" xfId="0" applyFont="1" applyBorder="1" applyAlignment="1">
      <alignment horizontal="center" vertical="center"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5" fillId="0" borderId="0" xfId="0" quotePrefix="1" applyFont="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28" fillId="0" borderId="0" xfId="0" applyFont="1"/>
    <xf numFmtId="181" fontId="28" fillId="0" borderId="6" xfId="0" applyNumberFormat="1" applyFont="1" applyBorder="1" applyAlignment="1">
      <alignment horizontal="center" vertical="center"/>
    </xf>
    <xf numFmtId="181" fontId="28" fillId="0" borderId="7" xfId="0" applyNumberFormat="1" applyFont="1" applyBorder="1" applyAlignment="1">
      <alignment horizontal="center" vertical="center"/>
    </xf>
    <xf numFmtId="181" fontId="28" fillId="0" borderId="11" xfId="0" applyNumberFormat="1" applyFont="1" applyBorder="1" applyAlignment="1">
      <alignment horizontal="center" vertical="center"/>
    </xf>
    <xf numFmtId="181" fontId="28" fillId="0" borderId="12" xfId="0" applyNumberFormat="1" applyFont="1" applyBorder="1" applyAlignment="1">
      <alignment horizontal="center" vertical="center"/>
    </xf>
    <xf numFmtId="0" fontId="28" fillId="0" borderId="0" xfId="0" quotePrefix="1" applyFont="1" applyAlignment="1">
      <alignment horizontal="left" vertical="center" wrapText="1"/>
    </xf>
    <xf numFmtId="0" fontId="28" fillId="0" borderId="29" xfId="0" applyFont="1" applyBorder="1" applyAlignment="1">
      <alignment vertical="center"/>
    </xf>
    <xf numFmtId="0" fontId="28" fillId="0" borderId="30" xfId="0" applyFont="1" applyBorder="1" applyAlignment="1">
      <alignment vertical="center"/>
    </xf>
    <xf numFmtId="0" fontId="28" fillId="0" borderId="86" xfId="0" applyFont="1" applyBorder="1" applyAlignment="1">
      <alignment vertical="center"/>
    </xf>
    <xf numFmtId="0" fontId="28" fillId="0" borderId="87" xfId="0" applyFont="1" applyBorder="1" applyAlignment="1">
      <alignment vertical="center"/>
    </xf>
    <xf numFmtId="0" fontId="40" fillId="0" borderId="25" xfId="0" applyFont="1" applyBorder="1" applyAlignment="1">
      <alignment horizontal="center" vertical="center"/>
    </xf>
    <xf numFmtId="0" fontId="28" fillId="0" borderId="94" xfId="0" applyFont="1" applyBorder="1" applyAlignment="1">
      <alignment horizontal="center" vertical="center"/>
    </xf>
    <xf numFmtId="0" fontId="28" fillId="0" borderId="95" xfId="0" applyFont="1" applyBorder="1" applyAlignment="1">
      <alignment horizontal="center" vertical="center"/>
    </xf>
    <xf numFmtId="0" fontId="28" fillId="0" borderId="10" xfId="0" applyFont="1" applyBorder="1" applyAlignment="1">
      <alignment horizontal="center" vertical="center" wrapText="1"/>
    </xf>
    <xf numFmtId="0" fontId="28" fillId="0" borderId="32" xfId="0" applyFont="1" applyBorder="1" applyAlignment="1">
      <alignment vertical="center" wrapText="1"/>
    </xf>
    <xf numFmtId="0" fontId="28" fillId="0" borderId="0" xfId="0" quotePrefix="1" applyFont="1" applyAlignment="1">
      <alignment vertical="center" wrapText="1"/>
    </xf>
    <xf numFmtId="0" fontId="38" fillId="6" borderId="96" xfId="0" applyFont="1" applyFill="1" applyBorder="1" applyAlignment="1">
      <alignment horizontal="center" vertical="center" shrinkToFit="1"/>
    </xf>
    <xf numFmtId="0" fontId="38" fillId="6" borderId="97" xfId="0" applyFont="1" applyFill="1" applyBorder="1" applyAlignment="1">
      <alignment horizontal="center" vertical="center" shrinkToFit="1"/>
    </xf>
    <xf numFmtId="0" fontId="38" fillId="6" borderId="98" xfId="0" applyFont="1" applyFill="1" applyBorder="1" applyAlignment="1">
      <alignment horizontal="center" vertical="center" shrinkToFit="1"/>
    </xf>
    <xf numFmtId="0" fontId="22" fillId="0" borderId="0" xfId="0" applyFont="1" applyAlignment="1">
      <alignment horizontal="center" vertical="center"/>
    </xf>
    <xf numFmtId="0" fontId="37" fillId="0" borderId="0" xfId="0" applyFont="1" applyAlignment="1">
      <alignment horizontal="center" vertical="center" wrapText="1"/>
    </xf>
    <xf numFmtId="0" fontId="37" fillId="0" borderId="31" xfId="0" applyFont="1" applyBorder="1" applyAlignment="1">
      <alignment horizontal="center" vertical="center" wrapText="1"/>
    </xf>
    <xf numFmtId="0" fontId="28" fillId="0" borderId="31" xfId="0" applyFont="1" applyBorder="1" applyAlignment="1">
      <alignment vertical="center" wrapText="1"/>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0" borderId="7" xfId="0" applyFont="1" applyBorder="1" applyAlignment="1">
      <alignment horizontal="center" vertical="center"/>
    </xf>
    <xf numFmtId="0" fontId="28" fillId="0" borderId="12" xfId="0" applyFont="1" applyBorder="1" applyAlignment="1">
      <alignment horizontal="center"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12" fontId="28" fillId="0" borderId="6" xfId="0" applyNumberFormat="1" applyFont="1" applyBorder="1" applyAlignment="1">
      <alignment horizontal="center" vertical="center"/>
    </xf>
    <xf numFmtId="178" fontId="28" fillId="0" borderId="6" xfId="0" applyNumberFormat="1" applyFont="1" applyBorder="1" applyAlignment="1">
      <alignment horizontal="center" vertical="center"/>
    </xf>
    <xf numFmtId="49" fontId="28" fillId="0" borderId="11" xfId="0" quotePrefix="1" applyNumberFormat="1" applyFont="1" applyBorder="1" applyAlignment="1">
      <alignment vertical="center"/>
    </xf>
    <xf numFmtId="49" fontId="28" fillId="0" borderId="11" xfId="0" applyNumberFormat="1" applyFont="1" applyBorder="1" applyAlignment="1">
      <alignment vertical="center"/>
    </xf>
    <xf numFmtId="178" fontId="28" fillId="0" borderId="0" xfId="0" applyNumberFormat="1" applyFont="1" applyAlignment="1">
      <alignment horizontal="center" vertical="center"/>
    </xf>
    <xf numFmtId="20" fontId="28" fillId="0" borderId="6" xfId="0" applyNumberFormat="1" applyFont="1" applyBorder="1" applyAlignment="1">
      <alignment horizontal="center" vertical="center"/>
    </xf>
    <xf numFmtId="9" fontId="28" fillId="0" borderId="6" xfId="0" applyNumberFormat="1" applyFont="1" applyBorder="1" applyAlignment="1">
      <alignment horizontal="center" vertical="center"/>
    </xf>
    <xf numFmtId="24" fontId="28" fillId="0" borderId="6" xfId="0" applyNumberFormat="1" applyFont="1" applyBorder="1" applyAlignment="1">
      <alignment horizontal="center" vertical="center"/>
    </xf>
    <xf numFmtId="6" fontId="28" fillId="0" borderId="6" xfId="0" applyNumberFormat="1" applyFont="1" applyBorder="1" applyAlignment="1">
      <alignment horizontal="center" vertical="center"/>
    </xf>
    <xf numFmtId="0" fontId="28" fillId="0" borderId="10" xfId="0" applyFont="1" applyBorder="1" applyAlignment="1">
      <alignment vertical="center"/>
    </xf>
    <xf numFmtId="0" fontId="28" fillId="0" borderId="5" xfId="0" applyFont="1" applyBorder="1" applyAlignment="1">
      <alignment vertical="center"/>
    </xf>
    <xf numFmtId="0" fontId="28" fillId="0" borderId="1" xfId="0" applyFont="1" applyBorder="1" applyAlignment="1">
      <alignment vertical="center"/>
    </xf>
    <xf numFmtId="0" fontId="28" fillId="0" borderId="6" xfId="0" applyFont="1" applyBorder="1" applyAlignment="1">
      <alignment vertical="center" wrapText="1"/>
    </xf>
    <xf numFmtId="0" fontId="28" fillId="0" borderId="11" xfId="0" applyFont="1" applyBorder="1" applyAlignment="1">
      <alignment vertical="center" wrapText="1"/>
    </xf>
    <xf numFmtId="0" fontId="28" fillId="0" borderId="29" xfId="0" applyFont="1" applyBorder="1" applyAlignment="1">
      <alignment vertical="center" wrapText="1"/>
    </xf>
    <xf numFmtId="0" fontId="28" fillId="0" borderId="35" xfId="0" applyFont="1" applyBorder="1" applyAlignment="1">
      <alignment vertical="center" wrapText="1"/>
    </xf>
    <xf numFmtId="0" fontId="51" fillId="0" borderId="0" xfId="0" applyFont="1" applyAlignment="1">
      <alignment horizontal="center" vertical="center"/>
    </xf>
    <xf numFmtId="0" fontId="28" fillId="0" borderId="11" xfId="0" applyFont="1" applyBorder="1" applyAlignment="1">
      <alignment horizontal="center" vertical="center" wrapText="1"/>
    </xf>
    <xf numFmtId="0" fontId="28" fillId="0" borderId="1" xfId="0" applyFont="1" applyBorder="1" applyAlignment="1">
      <alignment vertical="center" wrapText="1"/>
    </xf>
    <xf numFmtId="0" fontId="28" fillId="0" borderId="2" xfId="0" applyFont="1" applyBorder="1" applyAlignment="1">
      <alignment vertical="center" wrapText="1"/>
    </xf>
    <xf numFmtId="0" fontId="28" fillId="0" borderId="3" xfId="0" applyFont="1" applyBorder="1" applyAlignment="1">
      <alignment vertical="center" wrapText="1"/>
    </xf>
    <xf numFmtId="0" fontId="28" fillId="0" borderId="5" xfId="0" applyFont="1" applyBorder="1" applyAlignment="1">
      <alignment vertical="center" wrapText="1"/>
    </xf>
    <xf numFmtId="0" fontId="28" fillId="0" borderId="7" xfId="0" applyFont="1" applyBorder="1" applyAlignment="1">
      <alignment vertical="center" wrapText="1"/>
    </xf>
    <xf numFmtId="0" fontId="50" fillId="0" borderId="0" xfId="2" applyFont="1" applyAlignment="1" applyProtection="1">
      <alignment vertical="center"/>
    </xf>
    <xf numFmtId="0" fontId="24" fillId="0" borderId="6" xfId="0" applyFont="1" applyBorder="1" applyAlignment="1">
      <alignment vertical="center"/>
    </xf>
    <xf numFmtId="0" fontId="24" fillId="0" borderId="7" xfId="0" applyFont="1" applyBorder="1" applyAlignment="1">
      <alignment vertical="center"/>
    </xf>
    <xf numFmtId="0" fontId="24" fillId="0" borderId="11" xfId="0" applyFont="1" applyBorder="1" applyAlignment="1">
      <alignment vertical="center"/>
    </xf>
    <xf numFmtId="0" fontId="24" fillId="0" borderId="12" xfId="0" applyFont="1" applyBorder="1" applyAlignment="1">
      <alignment vertical="center"/>
    </xf>
    <xf numFmtId="0" fontId="49" fillId="4" borderId="6" xfId="0" applyFont="1" applyFill="1" applyBorder="1" applyAlignment="1">
      <alignment vertical="center"/>
    </xf>
    <xf numFmtId="0" fontId="28" fillId="0" borderId="0" xfId="0" applyFont="1" applyAlignment="1">
      <alignment horizontal="left" vertical="top" wrapText="1"/>
    </xf>
    <xf numFmtId="0" fontId="24" fillId="0" borderId="0" xfId="0" applyFont="1" applyAlignment="1">
      <alignment horizontal="left" vertical="center" wrapText="1"/>
    </xf>
    <xf numFmtId="0" fontId="35" fillId="0" borderId="99" xfId="0" applyFont="1" applyBorder="1" applyAlignment="1">
      <alignment horizontal="center" vertical="center"/>
    </xf>
    <xf numFmtId="8" fontId="28" fillId="0" borderId="0" xfId="0" applyNumberFormat="1" applyFont="1" applyAlignment="1">
      <alignment vertical="center"/>
    </xf>
    <xf numFmtId="0" fontId="36" fillId="0" borderId="0" xfId="0" applyFont="1" applyAlignment="1">
      <alignment vertical="center"/>
    </xf>
    <xf numFmtId="176" fontId="28" fillId="0" borderId="0" xfId="0" applyNumberFormat="1" applyFont="1" applyAlignment="1">
      <alignment vertical="center"/>
    </xf>
    <xf numFmtId="0" fontId="28" fillId="0" borderId="0" xfId="0" applyFont="1" applyAlignment="1">
      <alignment wrapText="1"/>
    </xf>
    <xf numFmtId="0" fontId="30" fillId="0" borderId="0" xfId="2" applyFont="1" applyAlignment="1" applyProtection="1">
      <alignment horizontal="center"/>
    </xf>
  </cellXfs>
  <cellStyles count="3">
    <cellStyle name="_ET_STYLE_NoName_00_" xfId="1" xr:uid="{00000000-0005-0000-0000-000000000000}"/>
    <cellStyle name="常规" xfId="0" builtinId="0"/>
    <cellStyle name="超链接" xfId="2" builtin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pivotCacheDefinition" Target="pivotCache/pivotCacheDefinition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宋体"/>
                <a:ea typeface="宋体"/>
                <a:cs typeface="宋体"/>
              </a:defRPr>
            </a:pPr>
            <a:r>
              <a:rPr lang="zh-CN" altLang="en-US"/>
              <a:t>图表标题</a:t>
            </a:r>
          </a:p>
        </c:rich>
      </c:tx>
      <c:layout>
        <c:manualLayout>
          <c:xMode val="edge"/>
          <c:yMode val="edge"/>
          <c:x val="0.43005087327047081"/>
          <c:y val="3.7314999804128959E-2"/>
        </c:manualLayout>
      </c:layout>
      <c:overlay val="0"/>
      <c:spPr>
        <a:noFill/>
        <a:ln w="25400">
          <a:noFill/>
        </a:ln>
      </c:spPr>
    </c:title>
    <c:autoTitleDeleted val="0"/>
    <c:plotArea>
      <c:layout>
        <c:manualLayout>
          <c:layoutTarget val="inner"/>
          <c:xMode val="edge"/>
          <c:yMode val="edge"/>
          <c:x val="5.144149639160174E-2"/>
          <c:y val="0.22015831227508492"/>
          <c:w val="0.55762582088496282"/>
          <c:h val="0.60450248455192812"/>
        </c:manualLayout>
      </c:layout>
      <c:scatterChart>
        <c:scatterStyle val="smoothMarker"/>
        <c:varyColors val="0"/>
        <c:ser>
          <c:idx val="0"/>
          <c:order val="0"/>
          <c:tx>
            <c:v>根据POWER函数的结果制作</c:v>
          </c:tx>
          <c:spPr>
            <a:ln w="12700">
              <a:solidFill>
                <a:srgbClr val="000080"/>
              </a:solidFill>
              <a:prstDash val="solid"/>
            </a:ln>
          </c:spPr>
          <c:marker>
            <c:symbol val="diamond"/>
            <c:size val="5"/>
            <c:spPr>
              <a:solidFill>
                <a:srgbClr val="000080"/>
              </a:solidFill>
              <a:ln>
                <a:solidFill>
                  <a:srgbClr val="000080"/>
                </a:solidFill>
                <a:prstDash val="solid"/>
              </a:ln>
            </c:spPr>
          </c:marker>
          <c:xVal>
            <c:numRef>
              <c:f>指数与对数函数!$B$17:$B$33</c:f>
              <c:numCache>
                <c:formatCode>General</c:formatCode>
                <c:ptCount val="17"/>
                <c:pt idx="0">
                  <c:v>-4</c:v>
                </c:pt>
                <c:pt idx="1">
                  <c:v>-3.5</c:v>
                </c:pt>
                <c:pt idx="2">
                  <c:v>-3</c:v>
                </c:pt>
                <c:pt idx="3">
                  <c:v>-2.5</c:v>
                </c:pt>
                <c:pt idx="4">
                  <c:v>-2</c:v>
                </c:pt>
                <c:pt idx="5">
                  <c:v>-1.5</c:v>
                </c:pt>
                <c:pt idx="6">
                  <c:v>-1</c:v>
                </c:pt>
                <c:pt idx="7">
                  <c:v>-0.5</c:v>
                </c:pt>
                <c:pt idx="8">
                  <c:v>0</c:v>
                </c:pt>
                <c:pt idx="9">
                  <c:v>0.5</c:v>
                </c:pt>
                <c:pt idx="10">
                  <c:v>1</c:v>
                </c:pt>
                <c:pt idx="11">
                  <c:v>1.5</c:v>
                </c:pt>
                <c:pt idx="12">
                  <c:v>2</c:v>
                </c:pt>
                <c:pt idx="13">
                  <c:v>2.5</c:v>
                </c:pt>
                <c:pt idx="14">
                  <c:v>3</c:v>
                </c:pt>
                <c:pt idx="15">
                  <c:v>3.5</c:v>
                </c:pt>
                <c:pt idx="16">
                  <c:v>4</c:v>
                </c:pt>
              </c:numCache>
            </c:numRef>
          </c:xVal>
          <c:yVal>
            <c:numRef>
              <c:f>指数与对数函数!$C$17:$C$33</c:f>
              <c:numCache>
                <c:formatCode>General</c:formatCode>
                <c:ptCount val="17"/>
                <c:pt idx="0">
                  <c:v>6.25E-2</c:v>
                </c:pt>
                <c:pt idx="1">
                  <c:v>8.8388347648318447E-2</c:v>
                </c:pt>
                <c:pt idx="2">
                  <c:v>0.125</c:v>
                </c:pt>
                <c:pt idx="3">
                  <c:v>0.17677669529663687</c:v>
                </c:pt>
                <c:pt idx="4">
                  <c:v>0.25</c:v>
                </c:pt>
                <c:pt idx="5">
                  <c:v>0.35355339059327379</c:v>
                </c:pt>
                <c:pt idx="6">
                  <c:v>0.5</c:v>
                </c:pt>
                <c:pt idx="7">
                  <c:v>0.70710678118654746</c:v>
                </c:pt>
                <c:pt idx="8">
                  <c:v>1</c:v>
                </c:pt>
                <c:pt idx="9">
                  <c:v>1.4142135623730951</c:v>
                </c:pt>
                <c:pt idx="10">
                  <c:v>2</c:v>
                </c:pt>
                <c:pt idx="11">
                  <c:v>2.8284271247461898</c:v>
                </c:pt>
                <c:pt idx="12">
                  <c:v>4</c:v>
                </c:pt>
                <c:pt idx="13">
                  <c:v>5.6568542494923806</c:v>
                </c:pt>
                <c:pt idx="14">
                  <c:v>8</c:v>
                </c:pt>
                <c:pt idx="15">
                  <c:v>11.313708498984759</c:v>
                </c:pt>
                <c:pt idx="16">
                  <c:v>16</c:v>
                </c:pt>
              </c:numCache>
            </c:numRef>
          </c:yVal>
          <c:smooth val="1"/>
          <c:extLst>
            <c:ext xmlns:c16="http://schemas.microsoft.com/office/drawing/2014/chart" uri="{C3380CC4-5D6E-409C-BE32-E72D297353CC}">
              <c16:uniqueId val="{00000000-BB75-4DAA-9B76-750B85B77CB6}"/>
            </c:ext>
          </c:extLst>
        </c:ser>
        <c:dLbls>
          <c:showLegendKey val="0"/>
          <c:showVal val="0"/>
          <c:showCatName val="0"/>
          <c:showSerName val="0"/>
          <c:showPercent val="0"/>
          <c:showBubbleSize val="0"/>
        </c:dLbls>
        <c:axId val="124748303"/>
        <c:axId val="1"/>
      </c:scatterChart>
      <c:valAx>
        <c:axId val="124748303"/>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宋体"/>
                <a:ea typeface="宋体"/>
                <a:cs typeface="宋体"/>
              </a:defRPr>
            </a:pPr>
            <a:endParaRPr lang="zh-CN"/>
          </a:p>
        </c:txPr>
        <c:crossAx val="1"/>
        <c:crosses val="autoZero"/>
        <c:crossBetween val="midCat"/>
      </c:valAx>
      <c:valAx>
        <c:axId val="1"/>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宋体"/>
                <a:ea typeface="宋体"/>
                <a:cs typeface="宋体"/>
              </a:defRPr>
            </a:pPr>
            <a:endParaRPr lang="zh-CN"/>
          </a:p>
        </c:txPr>
        <c:crossAx val="124748303"/>
        <c:crosses val="autoZero"/>
        <c:crossBetween val="midCat"/>
      </c:valAx>
      <c:spPr>
        <a:solidFill>
          <a:srgbClr val="C0C0C0"/>
        </a:solidFill>
        <a:ln w="12700">
          <a:solidFill>
            <a:srgbClr val="808080"/>
          </a:solidFill>
          <a:prstDash val="solid"/>
        </a:ln>
      </c:spPr>
    </c:plotArea>
    <c:legend>
      <c:legendPos val="r"/>
      <c:layout>
        <c:manualLayout>
          <c:xMode val="edge"/>
          <c:yMode val="edge"/>
          <c:x val="0.65022571351052127"/>
          <c:y val="0.46136296022764334"/>
          <c:w val="0.33197177778385262"/>
          <c:h val="0.147137376505032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宋体"/>
              <a:ea typeface="宋体"/>
              <a:cs typeface="宋体"/>
            </a:defRPr>
          </a:pPr>
          <a:endParaRPr lang="zh-CN"/>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宋体"/>
          <a:ea typeface="宋体"/>
          <a:cs typeface="宋体"/>
        </a:defRPr>
      </a:pPr>
      <a:endParaRPr lang="zh-CN"/>
    </a:p>
  </c:txPr>
  <c:printSettings>
    <c:headerFooter alignWithMargins="0"/>
    <c:pageMargins b="1" l="0.75" r="0.75" t="1" header="0.5" footer="0.5"/>
    <c:pageSetup/>
  </c:printSettings>
</c:chartSpace>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97</xdr:row>
      <xdr:rowOff>0</xdr:rowOff>
    </xdr:from>
    <xdr:to>
      <xdr:col>6</xdr:col>
      <xdr:colOff>304800</xdr:colOff>
      <xdr:row>98</xdr:row>
      <xdr:rowOff>114300</xdr:rowOff>
    </xdr:to>
    <xdr:sp macro="" textlink="">
      <xdr:nvSpPr>
        <xdr:cNvPr id="5143" name="Picture 5" descr="显示">
          <a:hlinkClick xmlns:r="http://schemas.openxmlformats.org/officeDocument/2006/relationships" r:id=""/>
          <a:extLst>
            <a:ext uri="{FF2B5EF4-FFF2-40B4-BE49-F238E27FC236}">
              <a16:creationId xmlns:a16="http://schemas.microsoft.com/office/drawing/2014/main" id="{D44D6A1F-FFC1-45D7-9F18-2A0C46D80C77}"/>
            </a:ext>
          </a:extLst>
        </xdr:cNvPr>
        <xdr:cNvSpPr>
          <a:spLocks noChangeAspect="1" noChangeArrowheads="1"/>
        </xdr:cNvSpPr>
      </xdr:nvSpPr>
      <xdr:spPr bwMode="auto">
        <a:xfrm>
          <a:off x="4286250" y="211899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95</xdr:row>
      <xdr:rowOff>0</xdr:rowOff>
    </xdr:from>
    <xdr:to>
      <xdr:col>6</xdr:col>
      <xdr:colOff>304800</xdr:colOff>
      <xdr:row>96</xdr:row>
      <xdr:rowOff>114300</xdr:rowOff>
    </xdr:to>
    <xdr:sp macro="" textlink="">
      <xdr:nvSpPr>
        <xdr:cNvPr id="5144" name="Picture 6" descr="显示">
          <a:hlinkClick xmlns:r="http://schemas.openxmlformats.org/officeDocument/2006/relationships" r:id=""/>
          <a:extLst>
            <a:ext uri="{FF2B5EF4-FFF2-40B4-BE49-F238E27FC236}">
              <a16:creationId xmlns:a16="http://schemas.microsoft.com/office/drawing/2014/main" id="{2804684D-D715-4CEA-A05D-390C54B06FFA}"/>
            </a:ext>
          </a:extLst>
        </xdr:cNvPr>
        <xdr:cNvSpPr>
          <a:spLocks noChangeAspect="1" noChangeArrowheads="1"/>
        </xdr:cNvSpPr>
      </xdr:nvSpPr>
      <xdr:spPr bwMode="auto">
        <a:xfrm>
          <a:off x="4286250" y="208089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95</xdr:row>
      <xdr:rowOff>0</xdr:rowOff>
    </xdr:from>
    <xdr:to>
      <xdr:col>6</xdr:col>
      <xdr:colOff>304800</xdr:colOff>
      <xdr:row>96</xdr:row>
      <xdr:rowOff>114300</xdr:rowOff>
    </xdr:to>
    <xdr:sp macro="" textlink="">
      <xdr:nvSpPr>
        <xdr:cNvPr id="5145" name="Picture 7" descr="显示">
          <a:hlinkClick xmlns:r="http://schemas.openxmlformats.org/officeDocument/2006/relationships" r:id=""/>
          <a:extLst>
            <a:ext uri="{FF2B5EF4-FFF2-40B4-BE49-F238E27FC236}">
              <a16:creationId xmlns:a16="http://schemas.microsoft.com/office/drawing/2014/main" id="{59F2D06C-4F3F-4706-9975-B5644422C3EB}"/>
            </a:ext>
          </a:extLst>
        </xdr:cNvPr>
        <xdr:cNvSpPr>
          <a:spLocks noChangeAspect="1" noChangeArrowheads="1"/>
        </xdr:cNvSpPr>
      </xdr:nvSpPr>
      <xdr:spPr bwMode="auto">
        <a:xfrm>
          <a:off x="4286250" y="208089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95</xdr:row>
      <xdr:rowOff>0</xdr:rowOff>
    </xdr:from>
    <xdr:to>
      <xdr:col>6</xdr:col>
      <xdr:colOff>304800</xdr:colOff>
      <xdr:row>96</xdr:row>
      <xdr:rowOff>114300</xdr:rowOff>
    </xdr:to>
    <xdr:sp macro="" textlink="">
      <xdr:nvSpPr>
        <xdr:cNvPr id="5146" name="Picture 8" descr="显示">
          <a:hlinkClick xmlns:r="http://schemas.openxmlformats.org/officeDocument/2006/relationships" r:id=""/>
          <a:extLst>
            <a:ext uri="{FF2B5EF4-FFF2-40B4-BE49-F238E27FC236}">
              <a16:creationId xmlns:a16="http://schemas.microsoft.com/office/drawing/2014/main" id="{D3272EDD-673B-4B02-A914-68BBEC5B6200}"/>
            </a:ext>
          </a:extLst>
        </xdr:cNvPr>
        <xdr:cNvSpPr>
          <a:spLocks noChangeAspect="1" noChangeArrowheads="1"/>
        </xdr:cNvSpPr>
      </xdr:nvSpPr>
      <xdr:spPr bwMode="auto">
        <a:xfrm>
          <a:off x="4286250" y="208089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95</xdr:row>
      <xdr:rowOff>0</xdr:rowOff>
    </xdr:from>
    <xdr:to>
      <xdr:col>6</xdr:col>
      <xdr:colOff>304800</xdr:colOff>
      <xdr:row>96</xdr:row>
      <xdr:rowOff>114300</xdr:rowOff>
    </xdr:to>
    <xdr:sp macro="" textlink="">
      <xdr:nvSpPr>
        <xdr:cNvPr id="5147" name="Picture 9" descr="显示">
          <a:hlinkClick xmlns:r="http://schemas.openxmlformats.org/officeDocument/2006/relationships" r:id=""/>
          <a:extLst>
            <a:ext uri="{FF2B5EF4-FFF2-40B4-BE49-F238E27FC236}">
              <a16:creationId xmlns:a16="http://schemas.microsoft.com/office/drawing/2014/main" id="{A234D84E-12BC-458F-BF68-F7E8608BEBCB}"/>
            </a:ext>
          </a:extLst>
        </xdr:cNvPr>
        <xdr:cNvSpPr>
          <a:spLocks noChangeAspect="1" noChangeArrowheads="1"/>
        </xdr:cNvSpPr>
      </xdr:nvSpPr>
      <xdr:spPr bwMode="auto">
        <a:xfrm>
          <a:off x="4286250" y="208089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95</xdr:row>
      <xdr:rowOff>0</xdr:rowOff>
    </xdr:from>
    <xdr:to>
      <xdr:col>6</xdr:col>
      <xdr:colOff>304800</xdr:colOff>
      <xdr:row>96</xdr:row>
      <xdr:rowOff>114300</xdr:rowOff>
    </xdr:to>
    <xdr:sp macro="" textlink="">
      <xdr:nvSpPr>
        <xdr:cNvPr id="5148" name="Picture 10" descr="显示">
          <a:hlinkClick xmlns:r="http://schemas.openxmlformats.org/officeDocument/2006/relationships" r:id=""/>
          <a:extLst>
            <a:ext uri="{FF2B5EF4-FFF2-40B4-BE49-F238E27FC236}">
              <a16:creationId xmlns:a16="http://schemas.microsoft.com/office/drawing/2014/main" id="{2D00B845-8970-430D-B25C-622FE4BB0F4B}"/>
            </a:ext>
          </a:extLst>
        </xdr:cNvPr>
        <xdr:cNvSpPr>
          <a:spLocks noChangeAspect="1" noChangeArrowheads="1"/>
        </xdr:cNvSpPr>
      </xdr:nvSpPr>
      <xdr:spPr bwMode="auto">
        <a:xfrm>
          <a:off x="4286250" y="208089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125</xdr:row>
      <xdr:rowOff>0</xdr:rowOff>
    </xdr:from>
    <xdr:to>
      <xdr:col>6</xdr:col>
      <xdr:colOff>304800</xdr:colOff>
      <xdr:row>126</xdr:row>
      <xdr:rowOff>114300</xdr:rowOff>
    </xdr:to>
    <xdr:sp macro="" textlink="">
      <xdr:nvSpPr>
        <xdr:cNvPr id="27652" name="Picture 1" descr="公式">
          <a:extLst>
            <a:ext uri="{FF2B5EF4-FFF2-40B4-BE49-F238E27FC236}">
              <a16:creationId xmlns:a16="http://schemas.microsoft.com/office/drawing/2014/main" id="{294C0AA8-6148-45F7-B755-D1A1F1EE90DE}"/>
            </a:ext>
          </a:extLst>
        </xdr:cNvPr>
        <xdr:cNvSpPr>
          <a:spLocks noChangeAspect="1" noChangeArrowheads="1"/>
        </xdr:cNvSpPr>
      </xdr:nvSpPr>
      <xdr:spPr bwMode="auto">
        <a:xfrm>
          <a:off x="4286250" y="267525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229</xdr:row>
      <xdr:rowOff>0</xdr:rowOff>
    </xdr:from>
    <xdr:to>
      <xdr:col>6</xdr:col>
      <xdr:colOff>304800</xdr:colOff>
      <xdr:row>230</xdr:row>
      <xdr:rowOff>114300</xdr:rowOff>
    </xdr:to>
    <xdr:sp macro="" textlink="">
      <xdr:nvSpPr>
        <xdr:cNvPr id="28676" name="Picture 1" descr="公式">
          <a:extLst>
            <a:ext uri="{FF2B5EF4-FFF2-40B4-BE49-F238E27FC236}">
              <a16:creationId xmlns:a16="http://schemas.microsoft.com/office/drawing/2014/main" id="{76A50684-8CC7-4AB1-854E-BE71919A8D34}"/>
            </a:ext>
          </a:extLst>
        </xdr:cNvPr>
        <xdr:cNvSpPr>
          <a:spLocks noChangeAspect="1" noChangeArrowheads="1"/>
        </xdr:cNvSpPr>
      </xdr:nvSpPr>
      <xdr:spPr bwMode="auto">
        <a:xfrm>
          <a:off x="4286250" y="469836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31</xdr:row>
      <xdr:rowOff>0</xdr:rowOff>
    </xdr:from>
    <xdr:to>
      <xdr:col>7</xdr:col>
      <xdr:colOff>304800</xdr:colOff>
      <xdr:row>32</xdr:row>
      <xdr:rowOff>95250</xdr:rowOff>
    </xdr:to>
    <xdr:sp macro="" textlink="">
      <xdr:nvSpPr>
        <xdr:cNvPr id="31748" name="Picture 1" descr="显示">
          <a:hlinkClick xmlns:r="http://schemas.openxmlformats.org/officeDocument/2006/relationships" r:id=""/>
          <a:extLst>
            <a:ext uri="{FF2B5EF4-FFF2-40B4-BE49-F238E27FC236}">
              <a16:creationId xmlns:a16="http://schemas.microsoft.com/office/drawing/2014/main" id="{495218D3-C279-4789-B231-AF159DFB917A}"/>
            </a:ext>
          </a:extLst>
        </xdr:cNvPr>
        <xdr:cNvSpPr>
          <a:spLocks noChangeAspect="1" noChangeArrowheads="1"/>
        </xdr:cNvSpPr>
      </xdr:nvSpPr>
      <xdr:spPr bwMode="auto">
        <a:xfrm>
          <a:off x="4991100" y="68961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266700</xdr:colOff>
      <xdr:row>309</xdr:row>
      <xdr:rowOff>647700</xdr:rowOff>
    </xdr:from>
    <xdr:to>
      <xdr:col>4</xdr:col>
      <xdr:colOff>501650</xdr:colOff>
      <xdr:row>310</xdr:row>
      <xdr:rowOff>0</xdr:rowOff>
    </xdr:to>
    <xdr:pic>
      <xdr:nvPicPr>
        <xdr:cNvPr id="59402" name="Picture 3">
          <a:extLst>
            <a:ext uri="{FF2B5EF4-FFF2-40B4-BE49-F238E27FC236}">
              <a16:creationId xmlns:a16="http://schemas.microsoft.com/office/drawing/2014/main" id="{3B31DCF4-D72C-4C53-BDAE-A4C590FB8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3868300"/>
          <a:ext cx="93980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228</xdr:row>
      <xdr:rowOff>0</xdr:rowOff>
    </xdr:from>
    <xdr:to>
      <xdr:col>6</xdr:col>
      <xdr:colOff>304800</xdr:colOff>
      <xdr:row>229</xdr:row>
      <xdr:rowOff>95250</xdr:rowOff>
    </xdr:to>
    <xdr:sp macro="" textlink="">
      <xdr:nvSpPr>
        <xdr:cNvPr id="59403" name="Picture 1" descr="公式">
          <a:extLst>
            <a:ext uri="{FF2B5EF4-FFF2-40B4-BE49-F238E27FC236}">
              <a16:creationId xmlns:a16="http://schemas.microsoft.com/office/drawing/2014/main" id="{15B441D9-9C91-4529-A084-7FCDE0FCDD71}"/>
            </a:ext>
          </a:extLst>
        </xdr:cNvPr>
        <xdr:cNvSpPr>
          <a:spLocks noChangeAspect="1" noChangeArrowheads="1"/>
        </xdr:cNvSpPr>
      </xdr:nvSpPr>
      <xdr:spPr bwMode="auto">
        <a:xfrm>
          <a:off x="4286250" y="4732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323850</xdr:colOff>
      <xdr:row>209</xdr:row>
      <xdr:rowOff>457200</xdr:rowOff>
    </xdr:from>
    <xdr:to>
      <xdr:col>5</xdr:col>
      <xdr:colOff>323850</xdr:colOff>
      <xdr:row>210</xdr:row>
      <xdr:rowOff>0</xdr:rowOff>
    </xdr:to>
    <xdr:pic>
      <xdr:nvPicPr>
        <xdr:cNvPr id="59404" name="Picture 2">
          <a:extLst>
            <a:ext uri="{FF2B5EF4-FFF2-40B4-BE49-F238E27FC236}">
              <a16:creationId xmlns:a16="http://schemas.microsoft.com/office/drawing/2014/main" id="{5A061DF4-A111-4787-8716-655C0E56A8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5550" y="43122850"/>
          <a:ext cx="14097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304800</xdr:colOff>
      <xdr:row>309</xdr:row>
      <xdr:rowOff>292100</xdr:rowOff>
    </xdr:from>
    <xdr:to>
      <xdr:col>5</xdr:col>
      <xdr:colOff>209550</xdr:colOff>
      <xdr:row>309</xdr:row>
      <xdr:rowOff>857250</xdr:rowOff>
    </xdr:to>
    <xdr:pic>
      <xdr:nvPicPr>
        <xdr:cNvPr id="65552" name="Picture 7">
          <a:extLst>
            <a:ext uri="{FF2B5EF4-FFF2-40B4-BE49-F238E27FC236}">
              <a16:creationId xmlns:a16="http://schemas.microsoft.com/office/drawing/2014/main" id="{42CD1A1B-5270-4A32-9F47-4D634B388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64820800"/>
          <a:ext cx="131445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273050</xdr:colOff>
      <xdr:row>10</xdr:row>
      <xdr:rowOff>355600</xdr:rowOff>
    </xdr:from>
    <xdr:to>
      <xdr:col>4</xdr:col>
      <xdr:colOff>444500</xdr:colOff>
      <xdr:row>10</xdr:row>
      <xdr:rowOff>800100</xdr:rowOff>
    </xdr:to>
    <xdr:pic>
      <xdr:nvPicPr>
        <xdr:cNvPr id="65553" name="Picture 3">
          <a:extLst>
            <a:ext uri="{FF2B5EF4-FFF2-40B4-BE49-F238E27FC236}">
              <a16:creationId xmlns:a16="http://schemas.microsoft.com/office/drawing/2014/main" id="{BE92BA06-1125-4003-9799-9AF6343E6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4750" y="2692400"/>
          <a:ext cx="87630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109</xdr:row>
      <xdr:rowOff>330200</xdr:rowOff>
    </xdr:from>
    <xdr:to>
      <xdr:col>4</xdr:col>
      <xdr:colOff>495300</xdr:colOff>
      <xdr:row>109</xdr:row>
      <xdr:rowOff>781050</xdr:rowOff>
    </xdr:to>
    <xdr:pic>
      <xdr:nvPicPr>
        <xdr:cNvPr id="65554" name="Picture 4">
          <a:extLst>
            <a:ext uri="{FF2B5EF4-FFF2-40B4-BE49-F238E27FC236}">
              <a16:creationId xmlns:a16="http://schemas.microsoft.com/office/drawing/2014/main" id="{80BB5DC9-7A79-44A3-BD25-89E31F3B9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5550" y="23444200"/>
          <a:ext cx="876300" cy="45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209</xdr:row>
      <xdr:rowOff>177800</xdr:rowOff>
    </xdr:from>
    <xdr:to>
      <xdr:col>5</xdr:col>
      <xdr:colOff>76200</xdr:colOff>
      <xdr:row>209</xdr:row>
      <xdr:rowOff>762000</xdr:rowOff>
    </xdr:to>
    <xdr:pic>
      <xdr:nvPicPr>
        <xdr:cNvPr id="65555" name="Picture 6">
          <a:extLst>
            <a:ext uri="{FF2B5EF4-FFF2-40B4-BE49-F238E27FC236}">
              <a16:creationId xmlns:a16="http://schemas.microsoft.com/office/drawing/2014/main" id="{9D68DC9F-36FB-4892-B17C-18EB55FD2B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 y="43903900"/>
          <a:ext cx="127635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247650</xdr:colOff>
      <xdr:row>10</xdr:row>
      <xdr:rowOff>317500</xdr:rowOff>
    </xdr:from>
    <xdr:to>
      <xdr:col>5</xdr:col>
      <xdr:colOff>44450</xdr:colOff>
      <xdr:row>10</xdr:row>
      <xdr:rowOff>869950</xdr:rowOff>
    </xdr:to>
    <xdr:pic>
      <xdr:nvPicPr>
        <xdr:cNvPr id="66578" name="Picture 2">
          <a:extLst>
            <a:ext uri="{FF2B5EF4-FFF2-40B4-BE49-F238E27FC236}">
              <a16:creationId xmlns:a16="http://schemas.microsoft.com/office/drawing/2014/main" id="{102D2E05-27C6-4CA5-8680-312BD275E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9350" y="2654300"/>
          <a:ext cx="1206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317500</xdr:colOff>
      <xdr:row>109</xdr:row>
      <xdr:rowOff>457200</xdr:rowOff>
    </xdr:from>
    <xdr:to>
      <xdr:col>5</xdr:col>
      <xdr:colOff>114300</xdr:colOff>
      <xdr:row>110</xdr:row>
      <xdr:rowOff>0</xdr:rowOff>
    </xdr:to>
    <xdr:pic>
      <xdr:nvPicPr>
        <xdr:cNvPr id="66579" name="Picture 3">
          <a:extLst>
            <a:ext uri="{FF2B5EF4-FFF2-40B4-BE49-F238E27FC236}">
              <a16:creationId xmlns:a16="http://schemas.microsoft.com/office/drawing/2014/main" id="{2B49E099-ED7D-4AED-BA83-36BD480D9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89200" y="23856950"/>
          <a:ext cx="1206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209</xdr:row>
      <xdr:rowOff>469900</xdr:rowOff>
    </xdr:from>
    <xdr:to>
      <xdr:col>5</xdr:col>
      <xdr:colOff>76200</xdr:colOff>
      <xdr:row>209</xdr:row>
      <xdr:rowOff>1009650</xdr:rowOff>
    </xdr:to>
    <xdr:pic>
      <xdr:nvPicPr>
        <xdr:cNvPr id="66580" name="Picture 5">
          <a:extLst>
            <a:ext uri="{FF2B5EF4-FFF2-40B4-BE49-F238E27FC236}">
              <a16:creationId xmlns:a16="http://schemas.microsoft.com/office/drawing/2014/main" id="{ABC9B136-1154-4713-AB18-726919440D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5550" y="44627800"/>
          <a:ext cx="116205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309</xdr:row>
      <xdr:rowOff>641350</xdr:rowOff>
    </xdr:from>
    <xdr:to>
      <xdr:col>5</xdr:col>
      <xdr:colOff>323850</xdr:colOff>
      <xdr:row>309</xdr:row>
      <xdr:rowOff>1181100</xdr:rowOff>
    </xdr:to>
    <xdr:pic>
      <xdr:nvPicPr>
        <xdr:cNvPr id="66581" name="Picture 6">
          <a:extLst>
            <a:ext uri="{FF2B5EF4-FFF2-40B4-BE49-F238E27FC236}">
              <a16:creationId xmlns:a16="http://schemas.microsoft.com/office/drawing/2014/main" id="{8B6C72EC-48A9-4CF9-8E59-C36F0CABD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3200" y="65754250"/>
          <a:ext cx="116205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315</xdr:row>
      <xdr:rowOff>0</xdr:rowOff>
    </xdr:from>
    <xdr:to>
      <xdr:col>4</xdr:col>
      <xdr:colOff>304800</xdr:colOff>
      <xdr:row>316</xdr:row>
      <xdr:rowOff>95250</xdr:rowOff>
    </xdr:to>
    <xdr:sp macro="" textlink="">
      <xdr:nvSpPr>
        <xdr:cNvPr id="66582" name="Picture 7" descr="公式">
          <a:extLst>
            <a:ext uri="{FF2B5EF4-FFF2-40B4-BE49-F238E27FC236}">
              <a16:creationId xmlns:a16="http://schemas.microsoft.com/office/drawing/2014/main" id="{E782FE0C-9108-40D4-AA20-752ADAF0ADB4}"/>
            </a:ext>
          </a:extLst>
        </xdr:cNvPr>
        <xdr:cNvSpPr>
          <a:spLocks noChangeAspect="1" noChangeArrowheads="1"/>
        </xdr:cNvSpPr>
      </xdr:nvSpPr>
      <xdr:spPr bwMode="auto">
        <a:xfrm>
          <a:off x="2876550" y="67614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16</xdr:row>
      <xdr:rowOff>0</xdr:rowOff>
    </xdr:from>
    <xdr:to>
      <xdr:col>5</xdr:col>
      <xdr:colOff>304800</xdr:colOff>
      <xdr:row>17</xdr:row>
      <xdr:rowOff>95250</xdr:rowOff>
    </xdr:to>
    <xdr:sp macro="" textlink="">
      <xdr:nvSpPr>
        <xdr:cNvPr id="67601" name="Picture 3" descr="公式">
          <a:extLst>
            <a:ext uri="{FF2B5EF4-FFF2-40B4-BE49-F238E27FC236}">
              <a16:creationId xmlns:a16="http://schemas.microsoft.com/office/drawing/2014/main" id="{16285454-4186-4D6B-B527-0BDF1160BADC}"/>
            </a:ext>
          </a:extLst>
        </xdr:cNvPr>
        <xdr:cNvSpPr>
          <a:spLocks noChangeAspect="1" noChangeArrowheads="1"/>
        </xdr:cNvSpPr>
      </xdr:nvSpPr>
      <xdr:spPr bwMode="auto">
        <a:xfrm>
          <a:off x="3581400" y="43624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533400</xdr:colOff>
      <xdr:row>10</xdr:row>
      <xdr:rowOff>323850</xdr:rowOff>
    </xdr:from>
    <xdr:to>
      <xdr:col>3</xdr:col>
      <xdr:colOff>546100</xdr:colOff>
      <xdr:row>10</xdr:row>
      <xdr:rowOff>704850</xdr:rowOff>
    </xdr:to>
    <xdr:pic>
      <xdr:nvPicPr>
        <xdr:cNvPr id="67602" name="Picture 4">
          <a:extLst>
            <a:ext uri="{FF2B5EF4-FFF2-40B4-BE49-F238E27FC236}">
              <a16:creationId xmlns:a16="http://schemas.microsoft.com/office/drawing/2014/main" id="{1D31ED99-700F-4573-9DB6-D194D3E7A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3926" t="44661" r="68555" b="50131"/>
        <a:stretch>
          <a:fillRect/>
        </a:stretch>
      </xdr:blipFill>
      <xdr:spPr bwMode="auto">
        <a:xfrm>
          <a:off x="1981200" y="2660650"/>
          <a:ext cx="736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109</xdr:row>
      <xdr:rowOff>311150</xdr:rowOff>
    </xdr:from>
    <xdr:to>
      <xdr:col>5</xdr:col>
      <xdr:colOff>152400</xdr:colOff>
      <xdr:row>110</xdr:row>
      <xdr:rowOff>6350</xdr:rowOff>
    </xdr:to>
    <xdr:pic>
      <xdr:nvPicPr>
        <xdr:cNvPr id="67603" name="Picture 7">
          <a:extLst>
            <a:ext uri="{FF2B5EF4-FFF2-40B4-BE49-F238E27FC236}">
              <a16:creationId xmlns:a16="http://schemas.microsoft.com/office/drawing/2014/main" id="{968F6608-9DB3-4520-9F9A-403C3D84B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3926" t="42058" r="62012" b="54036"/>
        <a:stretch>
          <a:fillRect/>
        </a:stretch>
      </xdr:blipFill>
      <xdr:spPr bwMode="auto">
        <a:xfrm>
          <a:off x="2362200" y="23412450"/>
          <a:ext cx="13716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115</xdr:row>
      <xdr:rowOff>0</xdr:rowOff>
    </xdr:from>
    <xdr:to>
      <xdr:col>5</xdr:col>
      <xdr:colOff>304800</xdr:colOff>
      <xdr:row>116</xdr:row>
      <xdr:rowOff>95250</xdr:rowOff>
    </xdr:to>
    <xdr:sp macro="" textlink="">
      <xdr:nvSpPr>
        <xdr:cNvPr id="67604" name="Picture 8" descr="公式">
          <a:extLst>
            <a:ext uri="{FF2B5EF4-FFF2-40B4-BE49-F238E27FC236}">
              <a16:creationId xmlns:a16="http://schemas.microsoft.com/office/drawing/2014/main" id="{2784775C-FD58-48D9-BFD2-1EBDA9D56622}"/>
            </a:ext>
          </a:extLst>
        </xdr:cNvPr>
        <xdr:cNvSpPr>
          <a:spLocks noChangeAspect="1" noChangeArrowheads="1"/>
        </xdr:cNvSpPr>
      </xdr:nvSpPr>
      <xdr:spPr bwMode="auto">
        <a:xfrm>
          <a:off x="3581400" y="247967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317500</xdr:colOff>
      <xdr:row>10</xdr:row>
      <xdr:rowOff>158750</xdr:rowOff>
    </xdr:from>
    <xdr:to>
      <xdr:col>4</xdr:col>
      <xdr:colOff>298450</xdr:colOff>
      <xdr:row>10</xdr:row>
      <xdr:rowOff>533400</xdr:rowOff>
    </xdr:to>
    <xdr:pic>
      <xdr:nvPicPr>
        <xdr:cNvPr id="68627" name="Picture 1">
          <a:extLst>
            <a:ext uri="{FF2B5EF4-FFF2-40B4-BE49-F238E27FC236}">
              <a16:creationId xmlns:a16="http://schemas.microsoft.com/office/drawing/2014/main" id="{31D4E0D9-643F-4345-909D-F00FE21F0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89200" y="2597150"/>
          <a:ext cx="685800"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109</xdr:row>
      <xdr:rowOff>482600</xdr:rowOff>
    </xdr:from>
    <xdr:to>
      <xdr:col>6</xdr:col>
      <xdr:colOff>57150</xdr:colOff>
      <xdr:row>109</xdr:row>
      <xdr:rowOff>1416050</xdr:rowOff>
    </xdr:to>
    <xdr:pic>
      <xdr:nvPicPr>
        <xdr:cNvPr id="68628" name="Picture 2">
          <a:extLst>
            <a:ext uri="{FF2B5EF4-FFF2-40B4-BE49-F238E27FC236}">
              <a16:creationId xmlns:a16="http://schemas.microsoft.com/office/drawing/2014/main" id="{881CED37-455A-424E-BE07-A5E7C91F5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3304500"/>
          <a:ext cx="22860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115</xdr:row>
      <xdr:rowOff>0</xdr:rowOff>
    </xdr:from>
    <xdr:to>
      <xdr:col>3</xdr:col>
      <xdr:colOff>304800</xdr:colOff>
      <xdr:row>116</xdr:row>
      <xdr:rowOff>95250</xdr:rowOff>
    </xdr:to>
    <xdr:sp macro="" textlink="">
      <xdr:nvSpPr>
        <xdr:cNvPr id="68629" name="Picture 3" descr="公式">
          <a:extLst>
            <a:ext uri="{FF2B5EF4-FFF2-40B4-BE49-F238E27FC236}">
              <a16:creationId xmlns:a16="http://schemas.microsoft.com/office/drawing/2014/main" id="{C3C7FFB8-035C-470C-B3FF-C8D1D672ADC4}"/>
            </a:ext>
          </a:extLst>
        </xdr:cNvPr>
        <xdr:cNvSpPr>
          <a:spLocks noChangeAspect="1" noChangeArrowheads="1"/>
        </xdr:cNvSpPr>
      </xdr:nvSpPr>
      <xdr:spPr bwMode="auto">
        <a:xfrm>
          <a:off x="2171700" y="25622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273050</xdr:colOff>
      <xdr:row>209</xdr:row>
      <xdr:rowOff>457200</xdr:rowOff>
    </xdr:from>
    <xdr:to>
      <xdr:col>5</xdr:col>
      <xdr:colOff>495300</xdr:colOff>
      <xdr:row>210</xdr:row>
      <xdr:rowOff>6350</xdr:rowOff>
    </xdr:to>
    <xdr:pic>
      <xdr:nvPicPr>
        <xdr:cNvPr id="68630" name="Picture 4">
          <a:extLst>
            <a:ext uri="{FF2B5EF4-FFF2-40B4-BE49-F238E27FC236}">
              <a16:creationId xmlns:a16="http://schemas.microsoft.com/office/drawing/2014/main" id="{875F2319-1A8A-4A4C-9ECE-597FCB4FCE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4750" y="44805600"/>
          <a:ext cx="163195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xdr:row>
      <xdr:rowOff>0</xdr:rowOff>
    </xdr:from>
    <xdr:to>
      <xdr:col>4</xdr:col>
      <xdr:colOff>304800</xdr:colOff>
      <xdr:row>17</xdr:row>
      <xdr:rowOff>95250</xdr:rowOff>
    </xdr:to>
    <xdr:sp macro="" textlink="">
      <xdr:nvSpPr>
        <xdr:cNvPr id="68631" name="Picture 5" descr="公式">
          <a:extLst>
            <a:ext uri="{FF2B5EF4-FFF2-40B4-BE49-F238E27FC236}">
              <a16:creationId xmlns:a16="http://schemas.microsoft.com/office/drawing/2014/main" id="{F688B51B-D0D3-45D8-B068-543B000C35A4}"/>
            </a:ext>
          </a:extLst>
        </xdr:cNvPr>
        <xdr:cNvSpPr>
          <a:spLocks noChangeAspect="1" noChangeArrowheads="1"/>
        </xdr:cNvSpPr>
      </xdr:nvSpPr>
      <xdr:spPr bwMode="auto">
        <a:xfrm>
          <a:off x="2876550" y="40830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115</xdr:row>
      <xdr:rowOff>0</xdr:rowOff>
    </xdr:from>
    <xdr:to>
      <xdr:col>4</xdr:col>
      <xdr:colOff>304800</xdr:colOff>
      <xdr:row>116</xdr:row>
      <xdr:rowOff>95250</xdr:rowOff>
    </xdr:to>
    <xdr:sp macro="" textlink="">
      <xdr:nvSpPr>
        <xdr:cNvPr id="68632" name="Picture 6" descr="公式">
          <a:extLst>
            <a:ext uri="{FF2B5EF4-FFF2-40B4-BE49-F238E27FC236}">
              <a16:creationId xmlns:a16="http://schemas.microsoft.com/office/drawing/2014/main" id="{521B96A9-E615-4A6B-B9F2-8672046846A0}"/>
            </a:ext>
          </a:extLst>
        </xdr:cNvPr>
        <xdr:cNvSpPr>
          <a:spLocks noChangeAspect="1" noChangeArrowheads="1"/>
        </xdr:cNvSpPr>
      </xdr:nvSpPr>
      <xdr:spPr bwMode="auto">
        <a:xfrm>
          <a:off x="2876550" y="25622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247650</xdr:colOff>
      <xdr:row>10</xdr:row>
      <xdr:rowOff>457200</xdr:rowOff>
    </xdr:from>
    <xdr:to>
      <xdr:col>6</xdr:col>
      <xdr:colOff>133350</xdr:colOff>
      <xdr:row>10</xdr:row>
      <xdr:rowOff>1238250</xdr:rowOff>
    </xdr:to>
    <xdr:pic>
      <xdr:nvPicPr>
        <xdr:cNvPr id="69675" name="Picture 3">
          <a:extLst>
            <a:ext uri="{FF2B5EF4-FFF2-40B4-BE49-F238E27FC236}">
              <a16:creationId xmlns:a16="http://schemas.microsoft.com/office/drawing/2014/main" id="{B9396F0C-D3B6-496F-8C12-E0058C2F8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0" y="2895600"/>
          <a:ext cx="12954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419100</xdr:colOff>
      <xdr:row>209</xdr:row>
      <xdr:rowOff>495300</xdr:rowOff>
    </xdr:from>
    <xdr:to>
      <xdr:col>5</xdr:col>
      <xdr:colOff>323850</xdr:colOff>
      <xdr:row>209</xdr:row>
      <xdr:rowOff>952500</xdr:rowOff>
    </xdr:to>
    <xdr:pic>
      <xdr:nvPicPr>
        <xdr:cNvPr id="69676" name="Picture 4">
          <a:extLst>
            <a:ext uri="{FF2B5EF4-FFF2-40B4-BE49-F238E27FC236}">
              <a16:creationId xmlns:a16="http://schemas.microsoft.com/office/drawing/2014/main" id="{AFFA504B-BA17-4FBF-89A7-33746CEF12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45618400"/>
          <a:ext cx="1314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216</xdr:row>
      <xdr:rowOff>0</xdr:rowOff>
    </xdr:from>
    <xdr:to>
      <xdr:col>2</xdr:col>
      <xdr:colOff>304800</xdr:colOff>
      <xdr:row>217</xdr:row>
      <xdr:rowOff>95250</xdr:rowOff>
    </xdr:to>
    <xdr:sp macro="" textlink="">
      <xdr:nvSpPr>
        <xdr:cNvPr id="69677" name="Picture 5" descr="公式">
          <a:extLst>
            <a:ext uri="{FF2B5EF4-FFF2-40B4-BE49-F238E27FC236}">
              <a16:creationId xmlns:a16="http://schemas.microsoft.com/office/drawing/2014/main" id="{BDF4DF1C-9475-4142-89F0-3EEE880108A6}"/>
            </a:ext>
          </a:extLst>
        </xdr:cNvPr>
        <xdr:cNvSpPr>
          <a:spLocks noChangeAspect="1" noChangeArrowheads="1"/>
        </xdr:cNvSpPr>
      </xdr:nvSpPr>
      <xdr:spPr bwMode="auto">
        <a:xfrm>
          <a:off x="1447800" y="47523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127000</xdr:colOff>
      <xdr:row>309</xdr:row>
      <xdr:rowOff>476250</xdr:rowOff>
    </xdr:from>
    <xdr:to>
      <xdr:col>4</xdr:col>
      <xdr:colOff>133350</xdr:colOff>
      <xdr:row>309</xdr:row>
      <xdr:rowOff>704850</xdr:rowOff>
    </xdr:to>
    <xdr:pic>
      <xdr:nvPicPr>
        <xdr:cNvPr id="69678" name="Picture 6">
          <a:extLst>
            <a:ext uri="{FF2B5EF4-FFF2-40B4-BE49-F238E27FC236}">
              <a16:creationId xmlns:a16="http://schemas.microsoft.com/office/drawing/2014/main" id="{B6EFB2E4-3030-44E3-AA96-42BB300967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8700" y="66497200"/>
          <a:ext cx="711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323850</xdr:colOff>
      <xdr:row>309</xdr:row>
      <xdr:rowOff>457200</xdr:rowOff>
    </xdr:from>
    <xdr:to>
      <xdr:col>8</xdr:col>
      <xdr:colOff>241300</xdr:colOff>
      <xdr:row>309</xdr:row>
      <xdr:rowOff>889000</xdr:rowOff>
    </xdr:to>
    <xdr:pic>
      <xdr:nvPicPr>
        <xdr:cNvPr id="69679" name="Picture 7">
          <a:extLst>
            <a:ext uri="{FF2B5EF4-FFF2-40B4-BE49-F238E27FC236}">
              <a16:creationId xmlns:a16="http://schemas.microsoft.com/office/drawing/2014/main" id="{3260CB2A-CA3F-43AC-A7A3-DA97A3DDCD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10100" y="66478150"/>
          <a:ext cx="13271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509</xdr:row>
      <xdr:rowOff>495300</xdr:rowOff>
    </xdr:from>
    <xdr:to>
      <xdr:col>8</xdr:col>
      <xdr:colOff>317500</xdr:colOff>
      <xdr:row>509</xdr:row>
      <xdr:rowOff>1390650</xdr:rowOff>
    </xdr:to>
    <xdr:pic>
      <xdr:nvPicPr>
        <xdr:cNvPr id="69680" name="Picture 8">
          <a:extLst>
            <a:ext uri="{FF2B5EF4-FFF2-40B4-BE49-F238E27FC236}">
              <a16:creationId xmlns:a16="http://schemas.microsoft.com/office/drawing/2014/main" id="{1900E67E-1E1C-42E3-9688-7070464136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3700" y="107200700"/>
          <a:ext cx="30797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609</xdr:row>
      <xdr:rowOff>514350</xdr:rowOff>
    </xdr:from>
    <xdr:to>
      <xdr:col>8</xdr:col>
      <xdr:colOff>419100</xdr:colOff>
      <xdr:row>609</xdr:row>
      <xdr:rowOff>1123950</xdr:rowOff>
    </xdr:to>
    <xdr:pic>
      <xdr:nvPicPr>
        <xdr:cNvPr id="69681" name="Picture 9">
          <a:extLst>
            <a:ext uri="{FF2B5EF4-FFF2-40B4-BE49-F238E27FC236}">
              <a16:creationId xmlns:a16="http://schemas.microsoft.com/office/drawing/2014/main" id="{D83BCD3B-0B7F-4FD3-AC45-5994CC84F1C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57550" y="128377950"/>
          <a:ext cx="28575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21</xdr:row>
      <xdr:rowOff>0</xdr:rowOff>
    </xdr:from>
    <xdr:to>
      <xdr:col>3</xdr:col>
      <xdr:colOff>304800</xdr:colOff>
      <xdr:row>22</xdr:row>
      <xdr:rowOff>95250</xdr:rowOff>
    </xdr:to>
    <xdr:sp macro="" textlink="">
      <xdr:nvSpPr>
        <xdr:cNvPr id="69682" name="Picture 10" descr="公式">
          <a:extLst>
            <a:ext uri="{FF2B5EF4-FFF2-40B4-BE49-F238E27FC236}">
              <a16:creationId xmlns:a16="http://schemas.microsoft.com/office/drawing/2014/main" id="{CA2C7C88-55A8-4051-8FC9-D159DCE2D01F}"/>
            </a:ext>
          </a:extLst>
        </xdr:cNvPr>
        <xdr:cNvSpPr>
          <a:spLocks noChangeAspect="1" noChangeArrowheads="1"/>
        </xdr:cNvSpPr>
      </xdr:nvSpPr>
      <xdr:spPr bwMode="auto">
        <a:xfrm>
          <a:off x="2171700" y="60071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121</xdr:row>
      <xdr:rowOff>0</xdr:rowOff>
    </xdr:from>
    <xdr:to>
      <xdr:col>3</xdr:col>
      <xdr:colOff>304800</xdr:colOff>
      <xdr:row>122</xdr:row>
      <xdr:rowOff>95250</xdr:rowOff>
    </xdr:to>
    <xdr:sp macro="" textlink="">
      <xdr:nvSpPr>
        <xdr:cNvPr id="69683" name="Picture 11" descr="公式">
          <a:extLst>
            <a:ext uri="{FF2B5EF4-FFF2-40B4-BE49-F238E27FC236}">
              <a16:creationId xmlns:a16="http://schemas.microsoft.com/office/drawing/2014/main" id="{E6965CDE-1B22-4A30-B1C4-4ED303637103}"/>
            </a:ext>
          </a:extLst>
        </xdr:cNvPr>
        <xdr:cNvSpPr>
          <a:spLocks noChangeAspect="1" noChangeArrowheads="1"/>
        </xdr:cNvSpPr>
      </xdr:nvSpPr>
      <xdr:spPr bwMode="auto">
        <a:xfrm>
          <a:off x="2171700" y="27749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215</xdr:row>
      <xdr:rowOff>0</xdr:rowOff>
    </xdr:from>
    <xdr:to>
      <xdr:col>4</xdr:col>
      <xdr:colOff>304800</xdr:colOff>
      <xdr:row>216</xdr:row>
      <xdr:rowOff>95250</xdr:rowOff>
    </xdr:to>
    <xdr:sp macro="" textlink="">
      <xdr:nvSpPr>
        <xdr:cNvPr id="69684" name="Picture 13" descr="公式">
          <a:extLst>
            <a:ext uri="{FF2B5EF4-FFF2-40B4-BE49-F238E27FC236}">
              <a16:creationId xmlns:a16="http://schemas.microsoft.com/office/drawing/2014/main" id="{29F62848-36DA-40B0-90A0-786D49AF3B7A}"/>
            </a:ext>
          </a:extLst>
        </xdr:cNvPr>
        <xdr:cNvSpPr>
          <a:spLocks noChangeAspect="1" noChangeArrowheads="1"/>
        </xdr:cNvSpPr>
      </xdr:nvSpPr>
      <xdr:spPr bwMode="auto">
        <a:xfrm>
          <a:off x="2876550" y="47313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516</xdr:row>
      <xdr:rowOff>0</xdr:rowOff>
    </xdr:from>
    <xdr:to>
      <xdr:col>2</xdr:col>
      <xdr:colOff>304800</xdr:colOff>
      <xdr:row>517</xdr:row>
      <xdr:rowOff>95250</xdr:rowOff>
    </xdr:to>
    <xdr:sp macro="" textlink="">
      <xdr:nvSpPr>
        <xdr:cNvPr id="69685" name="Picture 14" descr="公式">
          <a:extLst>
            <a:ext uri="{FF2B5EF4-FFF2-40B4-BE49-F238E27FC236}">
              <a16:creationId xmlns:a16="http://schemas.microsoft.com/office/drawing/2014/main" id="{38A6AC2A-BB6D-4889-8EF1-BC9891377F11}"/>
            </a:ext>
          </a:extLst>
        </xdr:cNvPr>
        <xdr:cNvSpPr>
          <a:spLocks noChangeAspect="1" noChangeArrowheads="1"/>
        </xdr:cNvSpPr>
      </xdr:nvSpPr>
      <xdr:spPr bwMode="auto">
        <a:xfrm>
          <a:off x="1447800" y="1095629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515</xdr:row>
      <xdr:rowOff>0</xdr:rowOff>
    </xdr:from>
    <xdr:to>
      <xdr:col>4</xdr:col>
      <xdr:colOff>304800</xdr:colOff>
      <xdr:row>516</xdr:row>
      <xdr:rowOff>95250</xdr:rowOff>
    </xdr:to>
    <xdr:sp macro="" textlink="">
      <xdr:nvSpPr>
        <xdr:cNvPr id="69686" name="Picture 15" descr="公式">
          <a:extLst>
            <a:ext uri="{FF2B5EF4-FFF2-40B4-BE49-F238E27FC236}">
              <a16:creationId xmlns:a16="http://schemas.microsoft.com/office/drawing/2014/main" id="{C64D36DA-3809-414D-8192-12B51094236D}"/>
            </a:ext>
          </a:extLst>
        </xdr:cNvPr>
        <xdr:cNvSpPr>
          <a:spLocks noChangeAspect="1" noChangeArrowheads="1"/>
        </xdr:cNvSpPr>
      </xdr:nvSpPr>
      <xdr:spPr bwMode="auto">
        <a:xfrm>
          <a:off x="2876550" y="1093533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616</xdr:row>
      <xdr:rowOff>0</xdr:rowOff>
    </xdr:from>
    <xdr:to>
      <xdr:col>2</xdr:col>
      <xdr:colOff>304800</xdr:colOff>
      <xdr:row>617</xdr:row>
      <xdr:rowOff>95250</xdr:rowOff>
    </xdr:to>
    <xdr:sp macro="" textlink="">
      <xdr:nvSpPr>
        <xdr:cNvPr id="69687" name="Picture 16" descr="公式">
          <a:extLst>
            <a:ext uri="{FF2B5EF4-FFF2-40B4-BE49-F238E27FC236}">
              <a16:creationId xmlns:a16="http://schemas.microsoft.com/office/drawing/2014/main" id="{B4CC8A89-3842-42F4-8180-07C1C68F8D34}"/>
            </a:ext>
          </a:extLst>
        </xdr:cNvPr>
        <xdr:cNvSpPr>
          <a:spLocks noChangeAspect="1" noChangeArrowheads="1"/>
        </xdr:cNvSpPr>
      </xdr:nvSpPr>
      <xdr:spPr bwMode="auto">
        <a:xfrm>
          <a:off x="1447800" y="130708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425450</xdr:colOff>
      <xdr:row>209</xdr:row>
      <xdr:rowOff>730250</xdr:rowOff>
    </xdr:from>
    <xdr:to>
      <xdr:col>5</xdr:col>
      <xdr:colOff>635000</xdr:colOff>
      <xdr:row>209</xdr:row>
      <xdr:rowOff>1187450</xdr:rowOff>
    </xdr:to>
    <xdr:pic>
      <xdr:nvPicPr>
        <xdr:cNvPr id="70677" name="Picture 13">
          <a:extLst>
            <a:ext uri="{FF2B5EF4-FFF2-40B4-BE49-F238E27FC236}">
              <a16:creationId xmlns:a16="http://schemas.microsoft.com/office/drawing/2014/main" id="{C5AB41F2-2FF1-4284-B6C8-CBFC19C60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50" y="44507150"/>
          <a:ext cx="2343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109</xdr:row>
      <xdr:rowOff>647700</xdr:rowOff>
    </xdr:from>
    <xdr:to>
      <xdr:col>8</xdr:col>
      <xdr:colOff>533400</xdr:colOff>
      <xdr:row>109</xdr:row>
      <xdr:rowOff>1276350</xdr:rowOff>
    </xdr:to>
    <xdr:pic>
      <xdr:nvPicPr>
        <xdr:cNvPr id="70678" name="Picture 16">
          <a:extLst>
            <a:ext uri="{FF2B5EF4-FFF2-40B4-BE49-F238E27FC236}">
              <a16:creationId xmlns:a16="http://schemas.microsoft.com/office/drawing/2014/main" id="{BB7A42F7-32D5-4D50-B0FD-85C329728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1850" y="23412450"/>
          <a:ext cx="28575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6350</xdr:colOff>
      <xdr:row>42</xdr:row>
      <xdr:rowOff>196850</xdr:rowOff>
    </xdr:from>
    <xdr:to>
      <xdr:col>2</xdr:col>
      <xdr:colOff>6350</xdr:colOff>
      <xdr:row>43</xdr:row>
      <xdr:rowOff>330200</xdr:rowOff>
    </xdr:to>
    <xdr:cxnSp macro="">
      <xdr:nvCxnSpPr>
        <xdr:cNvPr id="10258" name="AutoShape 0">
          <a:extLst>
            <a:ext uri="{FF2B5EF4-FFF2-40B4-BE49-F238E27FC236}">
              <a16:creationId xmlns:a16="http://schemas.microsoft.com/office/drawing/2014/main" id="{06B9E78C-4B35-45A6-B58D-8D8C24F2D6F7}"/>
            </a:ext>
          </a:extLst>
        </xdr:cNvPr>
        <xdr:cNvCxnSpPr>
          <a:cxnSpLocks noChangeShapeType="1"/>
        </xdr:cNvCxnSpPr>
      </xdr:nvCxnSpPr>
      <xdr:spPr bwMode="auto">
        <a:xfrm>
          <a:off x="730250" y="9677400"/>
          <a:ext cx="723900" cy="3429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679450</xdr:colOff>
      <xdr:row>42</xdr:row>
      <xdr:rowOff>196850</xdr:rowOff>
    </xdr:from>
    <xdr:to>
      <xdr:col>1</xdr:col>
      <xdr:colOff>457200</xdr:colOff>
      <xdr:row>44</xdr:row>
      <xdr:rowOff>0</xdr:rowOff>
    </xdr:to>
    <xdr:cxnSp macro="">
      <xdr:nvCxnSpPr>
        <xdr:cNvPr id="10259" name="AutoShape 0">
          <a:extLst>
            <a:ext uri="{FF2B5EF4-FFF2-40B4-BE49-F238E27FC236}">
              <a16:creationId xmlns:a16="http://schemas.microsoft.com/office/drawing/2014/main" id="{F2276EB9-F433-43DA-8D1E-009A8ABDC06D}"/>
            </a:ext>
          </a:extLst>
        </xdr:cNvPr>
        <xdr:cNvCxnSpPr>
          <a:cxnSpLocks noChangeShapeType="1"/>
        </xdr:cNvCxnSpPr>
      </xdr:nvCxnSpPr>
      <xdr:spPr bwMode="auto">
        <a:xfrm>
          <a:off x="679450" y="9677400"/>
          <a:ext cx="501650" cy="4381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438150</xdr:colOff>
      <xdr:row>43</xdr:row>
      <xdr:rowOff>9525</xdr:rowOff>
    </xdr:from>
    <xdr:to>
      <xdr:col>2</xdr:col>
      <xdr:colOff>41335</xdr:colOff>
      <xdr:row>43</xdr:row>
      <xdr:rowOff>171450</xdr:rowOff>
    </xdr:to>
    <xdr:sp macro="" textlink="">
      <xdr:nvSpPr>
        <xdr:cNvPr id="10245" name="Rectangle 5">
          <a:extLst>
            <a:ext uri="{FF2B5EF4-FFF2-40B4-BE49-F238E27FC236}">
              <a16:creationId xmlns:a16="http://schemas.microsoft.com/office/drawing/2014/main" id="{62BCEAB2-3C23-42D4-A76A-7731FCCFEEB9}"/>
            </a:ext>
          </a:extLst>
        </xdr:cNvPr>
        <xdr:cNvSpPr>
          <a:spLocks noChangeArrowheads="1"/>
        </xdr:cNvSpPr>
      </xdr:nvSpPr>
      <xdr:spPr bwMode="auto">
        <a:xfrm>
          <a:off x="1162050" y="9705975"/>
          <a:ext cx="333375" cy="161925"/>
        </a:xfrm>
        <a:prstGeom prst="rect">
          <a:avLst/>
        </a:prstGeom>
        <a:solidFill>
          <a:srgbClr val="FFFFFF"/>
        </a:solidFill>
        <a:ln w="9525" cmpd="sng">
          <a:noFill/>
          <a:miter lim="800000"/>
          <a:headEnd/>
          <a:tailEnd/>
        </a:ln>
      </xdr:spPr>
      <xdr:txBody>
        <a:bodyPr vertOverflow="clip" wrap="square" lIns="27432" tIns="18288" rIns="0" bIns="0" anchor="t" upright="1"/>
        <a:lstStyle/>
        <a:p>
          <a:pPr algn="l" rtl="0">
            <a:defRPr sz="1000"/>
          </a:pPr>
          <a:r>
            <a:rPr lang="zh-CN" altLang="en-US" sz="1000" b="0" i="0" strike="noStrike">
              <a:solidFill>
                <a:srgbClr val="000000"/>
              </a:solidFill>
              <a:latin typeface="宋体"/>
              <a:ea typeface="宋体"/>
            </a:rPr>
            <a:t>品名</a:t>
          </a:r>
        </a:p>
      </xdr:txBody>
    </xdr:sp>
    <xdr:clientData/>
  </xdr:twoCellAnchor>
  <xdr:twoCellAnchor>
    <xdr:from>
      <xdr:col>1</xdr:col>
      <xdr:colOff>457200</xdr:colOff>
      <xdr:row>43</xdr:row>
      <xdr:rowOff>257175</xdr:rowOff>
    </xdr:from>
    <xdr:to>
      <xdr:col>1</xdr:col>
      <xdr:colOff>638175</xdr:colOff>
      <xdr:row>44</xdr:row>
      <xdr:rowOff>127</xdr:rowOff>
    </xdr:to>
    <xdr:sp macro="" textlink="">
      <xdr:nvSpPr>
        <xdr:cNvPr id="10246" name="Rectangle 6">
          <a:extLst>
            <a:ext uri="{FF2B5EF4-FFF2-40B4-BE49-F238E27FC236}">
              <a16:creationId xmlns:a16="http://schemas.microsoft.com/office/drawing/2014/main" id="{21C6D075-AF7B-48A0-876A-C6B0FE96A172}"/>
            </a:ext>
          </a:extLst>
        </xdr:cNvPr>
        <xdr:cNvSpPr>
          <a:spLocks noChangeArrowheads="1"/>
        </xdr:cNvSpPr>
      </xdr:nvSpPr>
      <xdr:spPr bwMode="auto">
        <a:xfrm>
          <a:off x="1181100" y="9953625"/>
          <a:ext cx="180975" cy="161925"/>
        </a:xfrm>
        <a:prstGeom prst="rect">
          <a:avLst/>
        </a:prstGeom>
        <a:solidFill>
          <a:srgbClr val="FFFFFF"/>
        </a:solidFill>
        <a:ln w="9525" cmpd="sng">
          <a:noFill/>
          <a:miter lim="800000"/>
          <a:headEnd/>
          <a:tailEnd/>
        </a:ln>
      </xdr:spPr>
      <xdr:txBody>
        <a:bodyPr vertOverflow="clip" wrap="square" lIns="27432" tIns="18288" rIns="0" bIns="0" anchor="t" upright="1"/>
        <a:lstStyle/>
        <a:p>
          <a:pPr algn="l" rtl="0">
            <a:defRPr sz="1000"/>
          </a:pPr>
          <a:r>
            <a:rPr lang="zh-CN" altLang="en-US" sz="1000" b="0" i="0" strike="noStrike">
              <a:solidFill>
                <a:srgbClr val="000000"/>
              </a:solidFill>
              <a:latin typeface="宋体"/>
              <a:ea typeface="宋体"/>
            </a:rPr>
            <a:t>件</a:t>
          </a:r>
        </a:p>
      </xdr:txBody>
    </xdr:sp>
    <xdr:clientData/>
  </xdr:twoCellAnchor>
  <xdr:twoCellAnchor>
    <xdr:from>
      <xdr:col>1</xdr:col>
      <xdr:colOff>3175</xdr:colOff>
      <xdr:row>43</xdr:row>
      <xdr:rowOff>266700</xdr:rowOff>
    </xdr:from>
    <xdr:to>
      <xdr:col>1</xdr:col>
      <xdr:colOff>333375</xdr:colOff>
      <xdr:row>44</xdr:row>
      <xdr:rowOff>0</xdr:rowOff>
    </xdr:to>
    <xdr:sp macro="" textlink="">
      <xdr:nvSpPr>
        <xdr:cNvPr id="10247" name="Rectangle 7">
          <a:extLst>
            <a:ext uri="{FF2B5EF4-FFF2-40B4-BE49-F238E27FC236}">
              <a16:creationId xmlns:a16="http://schemas.microsoft.com/office/drawing/2014/main" id="{400D5E8B-A6E0-4C37-B6CA-D69BFB2440F6}"/>
            </a:ext>
          </a:extLst>
        </xdr:cNvPr>
        <xdr:cNvSpPr>
          <a:spLocks noChangeArrowheads="1"/>
        </xdr:cNvSpPr>
      </xdr:nvSpPr>
      <xdr:spPr bwMode="auto">
        <a:xfrm>
          <a:off x="733425" y="9963150"/>
          <a:ext cx="323850" cy="161925"/>
        </a:xfrm>
        <a:prstGeom prst="rect">
          <a:avLst/>
        </a:prstGeom>
        <a:solidFill>
          <a:srgbClr val="FFFFFF"/>
        </a:solidFill>
        <a:ln w="9525" cmpd="sng">
          <a:noFill/>
          <a:miter lim="800000"/>
          <a:headEnd/>
          <a:tailEnd/>
        </a:ln>
      </xdr:spPr>
      <xdr:txBody>
        <a:bodyPr vertOverflow="clip" wrap="square" lIns="27432" tIns="18288" rIns="0" bIns="0" anchor="t" upright="1"/>
        <a:lstStyle/>
        <a:p>
          <a:pPr algn="l" rtl="0">
            <a:defRPr sz="1000"/>
          </a:pPr>
          <a:r>
            <a:rPr lang="zh-CN" altLang="en-US" sz="1000" b="0" i="0" strike="noStrike">
              <a:solidFill>
                <a:srgbClr val="000000"/>
              </a:solidFill>
              <a:latin typeface="宋体"/>
              <a:ea typeface="宋体"/>
            </a:rPr>
            <a:t>日期</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127000</xdr:colOff>
      <xdr:row>10</xdr:row>
      <xdr:rowOff>647700</xdr:rowOff>
    </xdr:from>
    <xdr:to>
      <xdr:col>12</xdr:col>
      <xdr:colOff>241300</xdr:colOff>
      <xdr:row>10</xdr:row>
      <xdr:rowOff>1041400</xdr:rowOff>
    </xdr:to>
    <xdr:pic>
      <xdr:nvPicPr>
        <xdr:cNvPr id="71685" name="Picture 2" descr="公式">
          <a:extLst>
            <a:ext uri="{FF2B5EF4-FFF2-40B4-BE49-F238E27FC236}">
              <a16:creationId xmlns:a16="http://schemas.microsoft.com/office/drawing/2014/main" id="{FC537EDA-A6C7-4F34-A788-E89DF8D622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7500" y="3086100"/>
          <a:ext cx="819150"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117</xdr:row>
      <xdr:rowOff>0</xdr:rowOff>
    </xdr:from>
    <xdr:to>
      <xdr:col>6</xdr:col>
      <xdr:colOff>304800</xdr:colOff>
      <xdr:row>118</xdr:row>
      <xdr:rowOff>114300</xdr:rowOff>
    </xdr:to>
    <xdr:sp macro="" textlink="">
      <xdr:nvSpPr>
        <xdr:cNvPr id="14343" name="Picture 1" descr="显示">
          <a:hlinkClick xmlns:r="http://schemas.openxmlformats.org/officeDocument/2006/relationships" r:id=""/>
          <a:extLst>
            <a:ext uri="{FF2B5EF4-FFF2-40B4-BE49-F238E27FC236}">
              <a16:creationId xmlns:a16="http://schemas.microsoft.com/office/drawing/2014/main" id="{79484CFC-84CF-4C0C-A2D5-BA5BB893AF15}"/>
            </a:ext>
          </a:extLst>
        </xdr:cNvPr>
        <xdr:cNvSpPr>
          <a:spLocks noChangeAspect="1" noChangeArrowheads="1"/>
        </xdr:cNvSpPr>
      </xdr:nvSpPr>
      <xdr:spPr bwMode="auto">
        <a:xfrm>
          <a:off x="4286250" y="256540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117</xdr:row>
      <xdr:rowOff>0</xdr:rowOff>
    </xdr:from>
    <xdr:to>
      <xdr:col>6</xdr:col>
      <xdr:colOff>304800</xdr:colOff>
      <xdr:row>118</xdr:row>
      <xdr:rowOff>114300</xdr:rowOff>
    </xdr:to>
    <xdr:sp macro="" textlink="">
      <xdr:nvSpPr>
        <xdr:cNvPr id="14344" name="Picture 2" descr="从帮助中选取示例。">
          <a:extLst>
            <a:ext uri="{FF2B5EF4-FFF2-40B4-BE49-F238E27FC236}">
              <a16:creationId xmlns:a16="http://schemas.microsoft.com/office/drawing/2014/main" id="{0F5BED20-FAF9-4DD4-8436-B2E2173D564A}"/>
            </a:ext>
          </a:extLst>
        </xdr:cNvPr>
        <xdr:cNvSpPr>
          <a:spLocks noChangeAspect="1" noChangeArrowheads="1"/>
        </xdr:cNvSpPr>
      </xdr:nvSpPr>
      <xdr:spPr bwMode="auto">
        <a:xfrm>
          <a:off x="4286250" y="256540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624</xdr:row>
      <xdr:rowOff>0</xdr:rowOff>
    </xdr:from>
    <xdr:to>
      <xdr:col>5</xdr:col>
      <xdr:colOff>304800</xdr:colOff>
      <xdr:row>625</xdr:row>
      <xdr:rowOff>95250</xdr:rowOff>
    </xdr:to>
    <xdr:sp macro="" textlink="">
      <xdr:nvSpPr>
        <xdr:cNvPr id="18443" name="Picture 2" descr="从帮助中选取示例。">
          <a:extLst>
            <a:ext uri="{FF2B5EF4-FFF2-40B4-BE49-F238E27FC236}">
              <a16:creationId xmlns:a16="http://schemas.microsoft.com/office/drawing/2014/main" id="{8EAD00FE-5A01-430B-BB7A-D73DF1280A21}"/>
            </a:ext>
          </a:extLst>
        </xdr:cNvPr>
        <xdr:cNvSpPr>
          <a:spLocks noChangeAspect="1" noChangeArrowheads="1"/>
        </xdr:cNvSpPr>
      </xdr:nvSpPr>
      <xdr:spPr bwMode="auto">
        <a:xfrm>
          <a:off x="3581400" y="126542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716</xdr:row>
      <xdr:rowOff>0</xdr:rowOff>
    </xdr:from>
    <xdr:to>
      <xdr:col>5</xdr:col>
      <xdr:colOff>304800</xdr:colOff>
      <xdr:row>717</xdr:row>
      <xdr:rowOff>95250</xdr:rowOff>
    </xdr:to>
    <xdr:sp macro="" textlink="">
      <xdr:nvSpPr>
        <xdr:cNvPr id="18444" name="Picture 3" descr="显示">
          <a:hlinkClick xmlns:r="http://schemas.openxmlformats.org/officeDocument/2006/relationships" r:id=""/>
          <a:extLst>
            <a:ext uri="{FF2B5EF4-FFF2-40B4-BE49-F238E27FC236}">
              <a16:creationId xmlns:a16="http://schemas.microsoft.com/office/drawing/2014/main" id="{26B5759C-4750-40D3-844E-EC18CCF76239}"/>
            </a:ext>
          </a:extLst>
        </xdr:cNvPr>
        <xdr:cNvSpPr>
          <a:spLocks noChangeAspect="1" noChangeArrowheads="1"/>
        </xdr:cNvSpPr>
      </xdr:nvSpPr>
      <xdr:spPr bwMode="auto">
        <a:xfrm>
          <a:off x="3581400" y="144843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726</xdr:row>
      <xdr:rowOff>0</xdr:rowOff>
    </xdr:from>
    <xdr:to>
      <xdr:col>5</xdr:col>
      <xdr:colOff>304800</xdr:colOff>
      <xdr:row>727</xdr:row>
      <xdr:rowOff>95250</xdr:rowOff>
    </xdr:to>
    <xdr:sp macro="" textlink="">
      <xdr:nvSpPr>
        <xdr:cNvPr id="18445" name="Picture 4" descr="从帮助中选取示例。">
          <a:extLst>
            <a:ext uri="{FF2B5EF4-FFF2-40B4-BE49-F238E27FC236}">
              <a16:creationId xmlns:a16="http://schemas.microsoft.com/office/drawing/2014/main" id="{F011D1B1-A8A1-465D-B256-ED910296465A}"/>
            </a:ext>
          </a:extLst>
        </xdr:cNvPr>
        <xdr:cNvSpPr>
          <a:spLocks noChangeAspect="1" noChangeArrowheads="1"/>
        </xdr:cNvSpPr>
      </xdr:nvSpPr>
      <xdr:spPr bwMode="auto">
        <a:xfrm>
          <a:off x="3581400" y="146939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19</xdr:row>
      <xdr:rowOff>0</xdr:rowOff>
    </xdr:from>
    <xdr:to>
      <xdr:col>6</xdr:col>
      <xdr:colOff>304800</xdr:colOff>
      <xdr:row>20</xdr:row>
      <xdr:rowOff>95250</xdr:rowOff>
    </xdr:to>
    <xdr:sp macro="" textlink="">
      <xdr:nvSpPr>
        <xdr:cNvPr id="19460" name="Picture 1" descr="显示">
          <a:hlinkClick xmlns:r="http://schemas.openxmlformats.org/officeDocument/2006/relationships" r:id=""/>
          <a:extLst>
            <a:ext uri="{FF2B5EF4-FFF2-40B4-BE49-F238E27FC236}">
              <a16:creationId xmlns:a16="http://schemas.microsoft.com/office/drawing/2014/main" id="{FD69223D-64E2-4E9C-A866-D9135D94EB9B}"/>
            </a:ext>
          </a:extLst>
        </xdr:cNvPr>
        <xdr:cNvSpPr>
          <a:spLocks noChangeAspect="1" noChangeArrowheads="1"/>
        </xdr:cNvSpPr>
      </xdr:nvSpPr>
      <xdr:spPr bwMode="auto">
        <a:xfrm>
          <a:off x="4286250" y="44831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17</xdr:row>
      <xdr:rowOff>0</xdr:rowOff>
    </xdr:from>
    <xdr:to>
      <xdr:col>6</xdr:col>
      <xdr:colOff>304800</xdr:colOff>
      <xdr:row>18</xdr:row>
      <xdr:rowOff>95250</xdr:rowOff>
    </xdr:to>
    <xdr:sp macro="" textlink="">
      <xdr:nvSpPr>
        <xdr:cNvPr id="20488" name="Picture 1" descr="显示">
          <a:hlinkClick xmlns:r="http://schemas.openxmlformats.org/officeDocument/2006/relationships" r:id=""/>
          <a:extLst>
            <a:ext uri="{FF2B5EF4-FFF2-40B4-BE49-F238E27FC236}">
              <a16:creationId xmlns:a16="http://schemas.microsoft.com/office/drawing/2014/main" id="{6F0EC785-806E-4B89-A740-0AFBE89B6AA0}"/>
            </a:ext>
          </a:extLst>
        </xdr:cNvPr>
        <xdr:cNvSpPr>
          <a:spLocks noChangeAspect="1" noChangeArrowheads="1"/>
        </xdr:cNvSpPr>
      </xdr:nvSpPr>
      <xdr:spPr bwMode="auto">
        <a:xfrm>
          <a:off x="4286250" y="43497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16</xdr:row>
      <xdr:rowOff>0</xdr:rowOff>
    </xdr:from>
    <xdr:to>
      <xdr:col>6</xdr:col>
      <xdr:colOff>304800</xdr:colOff>
      <xdr:row>17</xdr:row>
      <xdr:rowOff>95250</xdr:rowOff>
    </xdr:to>
    <xdr:sp macro="" textlink="">
      <xdr:nvSpPr>
        <xdr:cNvPr id="20489" name="Picture 3" descr="显示">
          <a:hlinkClick xmlns:r="http://schemas.openxmlformats.org/officeDocument/2006/relationships" r:id=""/>
          <a:extLst>
            <a:ext uri="{FF2B5EF4-FFF2-40B4-BE49-F238E27FC236}">
              <a16:creationId xmlns:a16="http://schemas.microsoft.com/office/drawing/2014/main" id="{BB31EC89-D04E-4442-9A86-6F70F72F433F}"/>
            </a:ext>
          </a:extLst>
        </xdr:cNvPr>
        <xdr:cNvSpPr>
          <a:spLocks noChangeAspect="1" noChangeArrowheads="1"/>
        </xdr:cNvSpPr>
      </xdr:nvSpPr>
      <xdr:spPr bwMode="auto">
        <a:xfrm>
          <a:off x="4286250" y="414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15</xdr:row>
      <xdr:rowOff>0</xdr:rowOff>
    </xdr:from>
    <xdr:to>
      <xdr:col>5</xdr:col>
      <xdr:colOff>304800</xdr:colOff>
      <xdr:row>16</xdr:row>
      <xdr:rowOff>95250</xdr:rowOff>
    </xdr:to>
    <xdr:sp macro="" textlink="">
      <xdr:nvSpPr>
        <xdr:cNvPr id="21517" name="Picture 1" descr="显示">
          <a:hlinkClick xmlns:r="http://schemas.openxmlformats.org/officeDocument/2006/relationships" r:id=""/>
          <a:extLst>
            <a:ext uri="{FF2B5EF4-FFF2-40B4-BE49-F238E27FC236}">
              <a16:creationId xmlns:a16="http://schemas.microsoft.com/office/drawing/2014/main" id="{DD5B39DF-636C-4BC9-850F-225884033219}"/>
            </a:ext>
          </a:extLst>
        </xdr:cNvPr>
        <xdr:cNvSpPr>
          <a:spLocks noChangeAspect="1" noChangeArrowheads="1"/>
        </xdr:cNvSpPr>
      </xdr:nvSpPr>
      <xdr:spPr bwMode="auto">
        <a:xfrm>
          <a:off x="3581400" y="3543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15</xdr:row>
      <xdr:rowOff>0</xdr:rowOff>
    </xdr:from>
    <xdr:to>
      <xdr:col>5</xdr:col>
      <xdr:colOff>304800</xdr:colOff>
      <xdr:row>16</xdr:row>
      <xdr:rowOff>95250</xdr:rowOff>
    </xdr:to>
    <xdr:sp macro="" textlink="">
      <xdr:nvSpPr>
        <xdr:cNvPr id="21518" name="Picture 2" descr="从帮助中选取示例">
          <a:extLst>
            <a:ext uri="{FF2B5EF4-FFF2-40B4-BE49-F238E27FC236}">
              <a16:creationId xmlns:a16="http://schemas.microsoft.com/office/drawing/2014/main" id="{9B02CB62-4853-4663-995D-E765CD106369}"/>
            </a:ext>
          </a:extLst>
        </xdr:cNvPr>
        <xdr:cNvSpPr>
          <a:spLocks noChangeAspect="1" noChangeArrowheads="1"/>
        </xdr:cNvSpPr>
      </xdr:nvSpPr>
      <xdr:spPr bwMode="auto">
        <a:xfrm>
          <a:off x="3581400" y="3543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114</xdr:row>
      <xdr:rowOff>0</xdr:rowOff>
    </xdr:from>
    <xdr:to>
      <xdr:col>5</xdr:col>
      <xdr:colOff>304800</xdr:colOff>
      <xdr:row>115</xdr:row>
      <xdr:rowOff>95250</xdr:rowOff>
    </xdr:to>
    <xdr:sp macro="" textlink="">
      <xdr:nvSpPr>
        <xdr:cNvPr id="21519" name="Picture 3" descr="显示">
          <a:hlinkClick xmlns:r="http://schemas.openxmlformats.org/officeDocument/2006/relationships" r:id=""/>
          <a:extLst>
            <a:ext uri="{FF2B5EF4-FFF2-40B4-BE49-F238E27FC236}">
              <a16:creationId xmlns:a16="http://schemas.microsoft.com/office/drawing/2014/main" id="{F20AFA2D-135C-4CE8-9716-B0F0A536BC3C}"/>
            </a:ext>
          </a:extLst>
        </xdr:cNvPr>
        <xdr:cNvSpPr>
          <a:spLocks noChangeAspect="1" noChangeArrowheads="1"/>
        </xdr:cNvSpPr>
      </xdr:nvSpPr>
      <xdr:spPr bwMode="auto">
        <a:xfrm>
          <a:off x="3581400" y="245491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114</xdr:row>
      <xdr:rowOff>0</xdr:rowOff>
    </xdr:from>
    <xdr:to>
      <xdr:col>5</xdr:col>
      <xdr:colOff>304800</xdr:colOff>
      <xdr:row>115</xdr:row>
      <xdr:rowOff>95250</xdr:rowOff>
    </xdr:to>
    <xdr:sp macro="" textlink="">
      <xdr:nvSpPr>
        <xdr:cNvPr id="21520" name="Picture 4" descr="从帮助中选取示例">
          <a:extLst>
            <a:ext uri="{FF2B5EF4-FFF2-40B4-BE49-F238E27FC236}">
              <a16:creationId xmlns:a16="http://schemas.microsoft.com/office/drawing/2014/main" id="{98356B97-3F65-44F9-A3F4-F0F1BD3052A1}"/>
            </a:ext>
          </a:extLst>
        </xdr:cNvPr>
        <xdr:cNvSpPr>
          <a:spLocks noChangeAspect="1" noChangeArrowheads="1"/>
        </xdr:cNvSpPr>
      </xdr:nvSpPr>
      <xdr:spPr bwMode="auto">
        <a:xfrm>
          <a:off x="3581400" y="245491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119</xdr:row>
      <xdr:rowOff>0</xdr:rowOff>
    </xdr:from>
    <xdr:to>
      <xdr:col>5</xdr:col>
      <xdr:colOff>304800</xdr:colOff>
      <xdr:row>120</xdr:row>
      <xdr:rowOff>114300</xdr:rowOff>
    </xdr:to>
    <xdr:sp macro="" textlink="">
      <xdr:nvSpPr>
        <xdr:cNvPr id="22553" name="Picture 1" descr="显示">
          <a:hlinkClick xmlns:r="http://schemas.openxmlformats.org/officeDocument/2006/relationships" r:id=""/>
          <a:extLst>
            <a:ext uri="{FF2B5EF4-FFF2-40B4-BE49-F238E27FC236}">
              <a16:creationId xmlns:a16="http://schemas.microsoft.com/office/drawing/2014/main" id="{D2696F98-0991-43F4-9E42-C1BF171F51D3}"/>
            </a:ext>
          </a:extLst>
        </xdr:cNvPr>
        <xdr:cNvSpPr>
          <a:spLocks noChangeAspect="1" noChangeArrowheads="1"/>
        </xdr:cNvSpPr>
      </xdr:nvSpPr>
      <xdr:spPr bwMode="auto">
        <a:xfrm>
          <a:off x="3581400" y="258826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191</xdr:row>
      <xdr:rowOff>0</xdr:rowOff>
    </xdr:from>
    <xdr:to>
      <xdr:col>5</xdr:col>
      <xdr:colOff>304800</xdr:colOff>
      <xdr:row>192</xdr:row>
      <xdr:rowOff>114300</xdr:rowOff>
    </xdr:to>
    <xdr:sp macro="" textlink="">
      <xdr:nvSpPr>
        <xdr:cNvPr id="22554" name="Picture 2" descr="公式">
          <a:extLst>
            <a:ext uri="{FF2B5EF4-FFF2-40B4-BE49-F238E27FC236}">
              <a16:creationId xmlns:a16="http://schemas.microsoft.com/office/drawing/2014/main" id="{02844838-2FC3-4860-A29A-821D269909E5}"/>
            </a:ext>
          </a:extLst>
        </xdr:cNvPr>
        <xdr:cNvSpPr>
          <a:spLocks noChangeAspect="1" noChangeArrowheads="1"/>
        </xdr:cNvSpPr>
      </xdr:nvSpPr>
      <xdr:spPr bwMode="auto">
        <a:xfrm>
          <a:off x="3581400" y="395986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195</xdr:row>
      <xdr:rowOff>0</xdr:rowOff>
    </xdr:from>
    <xdr:to>
      <xdr:col>5</xdr:col>
      <xdr:colOff>304800</xdr:colOff>
      <xdr:row>196</xdr:row>
      <xdr:rowOff>114300</xdr:rowOff>
    </xdr:to>
    <xdr:sp macro="" textlink="">
      <xdr:nvSpPr>
        <xdr:cNvPr id="22555" name="Picture 3" descr="公式">
          <a:extLst>
            <a:ext uri="{FF2B5EF4-FFF2-40B4-BE49-F238E27FC236}">
              <a16:creationId xmlns:a16="http://schemas.microsoft.com/office/drawing/2014/main" id="{E43A62A8-68D4-4C1B-AF1C-DA33982B9D14}"/>
            </a:ext>
          </a:extLst>
        </xdr:cNvPr>
        <xdr:cNvSpPr>
          <a:spLocks noChangeAspect="1" noChangeArrowheads="1"/>
        </xdr:cNvSpPr>
      </xdr:nvSpPr>
      <xdr:spPr bwMode="auto">
        <a:xfrm>
          <a:off x="3581400" y="403606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119</xdr:row>
      <xdr:rowOff>0</xdr:rowOff>
    </xdr:from>
    <xdr:to>
      <xdr:col>6</xdr:col>
      <xdr:colOff>304800</xdr:colOff>
      <xdr:row>120</xdr:row>
      <xdr:rowOff>114300</xdr:rowOff>
    </xdr:to>
    <xdr:sp macro="" textlink="">
      <xdr:nvSpPr>
        <xdr:cNvPr id="22556" name="Picture 4" descr="公式">
          <a:extLst>
            <a:ext uri="{FF2B5EF4-FFF2-40B4-BE49-F238E27FC236}">
              <a16:creationId xmlns:a16="http://schemas.microsoft.com/office/drawing/2014/main" id="{5305C869-1367-4B04-B669-2A51B3791E88}"/>
            </a:ext>
          </a:extLst>
        </xdr:cNvPr>
        <xdr:cNvSpPr>
          <a:spLocks noChangeAspect="1" noChangeArrowheads="1"/>
        </xdr:cNvSpPr>
      </xdr:nvSpPr>
      <xdr:spPr bwMode="auto">
        <a:xfrm>
          <a:off x="4286250" y="258826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177</xdr:row>
      <xdr:rowOff>0</xdr:rowOff>
    </xdr:from>
    <xdr:to>
      <xdr:col>6</xdr:col>
      <xdr:colOff>304800</xdr:colOff>
      <xdr:row>178</xdr:row>
      <xdr:rowOff>114300</xdr:rowOff>
    </xdr:to>
    <xdr:sp macro="" textlink="">
      <xdr:nvSpPr>
        <xdr:cNvPr id="22557" name="Picture 5" descr="公式">
          <a:extLst>
            <a:ext uri="{FF2B5EF4-FFF2-40B4-BE49-F238E27FC236}">
              <a16:creationId xmlns:a16="http://schemas.microsoft.com/office/drawing/2014/main" id="{10FB7BEA-7FFB-4906-B258-9C519CA0054D}"/>
            </a:ext>
          </a:extLst>
        </xdr:cNvPr>
        <xdr:cNvSpPr>
          <a:spLocks noChangeAspect="1" noChangeArrowheads="1"/>
        </xdr:cNvSpPr>
      </xdr:nvSpPr>
      <xdr:spPr bwMode="auto">
        <a:xfrm>
          <a:off x="4286250" y="369316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299</xdr:row>
      <xdr:rowOff>0</xdr:rowOff>
    </xdr:from>
    <xdr:to>
      <xdr:col>7</xdr:col>
      <xdr:colOff>304800</xdr:colOff>
      <xdr:row>299</xdr:row>
      <xdr:rowOff>304800</xdr:rowOff>
    </xdr:to>
    <xdr:sp macro="" textlink="">
      <xdr:nvSpPr>
        <xdr:cNvPr id="22558" name="Picture 6" descr="公式">
          <a:extLst>
            <a:ext uri="{FF2B5EF4-FFF2-40B4-BE49-F238E27FC236}">
              <a16:creationId xmlns:a16="http://schemas.microsoft.com/office/drawing/2014/main" id="{643AD15D-5F86-4BDE-8A07-BDD300A4BAFD}"/>
            </a:ext>
          </a:extLst>
        </xdr:cNvPr>
        <xdr:cNvSpPr>
          <a:spLocks noChangeAspect="1" noChangeArrowheads="1"/>
        </xdr:cNvSpPr>
      </xdr:nvSpPr>
      <xdr:spPr bwMode="auto">
        <a:xfrm>
          <a:off x="4991100" y="633031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330</xdr:row>
      <xdr:rowOff>0</xdr:rowOff>
    </xdr:from>
    <xdr:to>
      <xdr:col>6</xdr:col>
      <xdr:colOff>304800</xdr:colOff>
      <xdr:row>331</xdr:row>
      <xdr:rowOff>114300</xdr:rowOff>
    </xdr:to>
    <xdr:sp macro="" textlink="">
      <xdr:nvSpPr>
        <xdr:cNvPr id="22559" name="Picture 7" descr="公式">
          <a:extLst>
            <a:ext uri="{FF2B5EF4-FFF2-40B4-BE49-F238E27FC236}">
              <a16:creationId xmlns:a16="http://schemas.microsoft.com/office/drawing/2014/main" id="{211B495D-AB85-4C7C-A93C-B8D54B5A5C8F}"/>
            </a:ext>
          </a:extLst>
        </xdr:cNvPr>
        <xdr:cNvSpPr>
          <a:spLocks noChangeAspect="1" noChangeArrowheads="1"/>
        </xdr:cNvSpPr>
      </xdr:nvSpPr>
      <xdr:spPr bwMode="auto">
        <a:xfrm>
          <a:off x="4286250" y="704088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417</xdr:row>
      <xdr:rowOff>0</xdr:rowOff>
    </xdr:from>
    <xdr:to>
      <xdr:col>7</xdr:col>
      <xdr:colOff>304800</xdr:colOff>
      <xdr:row>418</xdr:row>
      <xdr:rowOff>95250</xdr:rowOff>
    </xdr:to>
    <xdr:sp macro="" textlink="">
      <xdr:nvSpPr>
        <xdr:cNvPr id="22560" name="Picture 8" descr="显示">
          <a:hlinkClick xmlns:r="http://schemas.openxmlformats.org/officeDocument/2006/relationships" r:id=""/>
          <a:extLst>
            <a:ext uri="{FF2B5EF4-FFF2-40B4-BE49-F238E27FC236}">
              <a16:creationId xmlns:a16="http://schemas.microsoft.com/office/drawing/2014/main" id="{1F32A455-6AF4-40BA-8E2E-F92A0D82D06A}"/>
            </a:ext>
          </a:extLst>
        </xdr:cNvPr>
        <xdr:cNvSpPr>
          <a:spLocks noChangeAspect="1" noChangeArrowheads="1"/>
        </xdr:cNvSpPr>
      </xdr:nvSpPr>
      <xdr:spPr bwMode="auto">
        <a:xfrm>
          <a:off x="4991100" y="88207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692150</xdr:colOff>
      <xdr:row>16</xdr:row>
      <xdr:rowOff>12700</xdr:rowOff>
    </xdr:from>
    <xdr:to>
      <xdr:col>11</xdr:col>
      <xdr:colOff>387350</xdr:colOff>
      <xdr:row>28</xdr:row>
      <xdr:rowOff>44450</xdr:rowOff>
    </xdr:to>
    <xdr:graphicFrame macro="">
      <xdr:nvGraphicFramePr>
        <xdr:cNvPr id="24580" name="Chart 1">
          <a:extLst>
            <a:ext uri="{FF2B5EF4-FFF2-40B4-BE49-F238E27FC236}">
              <a16:creationId xmlns:a16="http://schemas.microsoft.com/office/drawing/2014/main" id="{E85F8750-05A6-4B8C-B38B-28D207B11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Documents%20and%20Settings\Administrator\&#26700;&#38754;\GETPIVOTDATA%20&#23454;&#20363;\GETPIVOTDATA%20&#23454;&#20363;.xls"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0334.968655324075" createdVersion="1" refreshedVersion="1" recordCount="12" upgradeOnRefresh="1" xr:uid="{00000000-000A-0000-FFFF-FFFF00000000}">
  <cacheSource type="worksheet">
    <worksheetSource ref="A1:D13" sheet="数据源" r:id="rId2"/>
  </cacheSource>
  <cacheFields count="4">
    <cacheField name="姓名" numFmtId="0">
      <sharedItems count="3">
        <s v="李连霞"/>
        <s v="李夕欣"/>
        <s v="李艳丽"/>
      </sharedItems>
    </cacheField>
    <cacheField name="日期" numFmtId="0">
      <sharedItems containsSemiMixedTypes="0" containsNonDate="0" containsDate="1" containsString="0" minDate="2010-02-28T00:00:00" maxDate="2010-03-29T00:00:00" count="10">
        <d v="2010-03-13T00:00:00"/>
        <d v="2010-03-14T00:00:00"/>
        <d v="2010-03-19T00:00:00"/>
        <d v="2010-03-21T00:00:00"/>
        <d v="2010-03-26T00:00:00"/>
        <d v="2010-03-28T00:00:00"/>
        <d v="2010-03-22T00:00:00"/>
        <d v="2010-03-20T00:00:00"/>
        <d v="2010-03-03T00:00:00"/>
        <d v="2010-02-28T00:00:00"/>
      </sharedItems>
    </cacheField>
    <cacheField name="金额" numFmtId="0">
      <sharedItems containsSemiMixedTypes="0" containsString="0" containsNumber="1" containsInteger="1" minValue="325" maxValue="592" count="2">
        <n v="325"/>
        <n v="592"/>
      </sharedItems>
    </cacheField>
    <cacheField name="状态" numFmtId="0">
      <sharedItems count="2">
        <s v="退"/>
        <s v="成功"/>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
  <r>
    <x v="0"/>
    <x v="0"/>
    <x v="0"/>
    <x v="0"/>
  </r>
  <r>
    <x v="0"/>
    <x v="1"/>
    <x v="0"/>
    <x v="1"/>
  </r>
  <r>
    <x v="0"/>
    <x v="2"/>
    <x v="0"/>
    <x v="0"/>
  </r>
  <r>
    <x v="0"/>
    <x v="3"/>
    <x v="0"/>
    <x v="0"/>
  </r>
  <r>
    <x v="1"/>
    <x v="4"/>
    <x v="1"/>
    <x v="1"/>
  </r>
  <r>
    <x v="1"/>
    <x v="4"/>
    <x v="0"/>
    <x v="1"/>
  </r>
  <r>
    <x v="1"/>
    <x v="5"/>
    <x v="0"/>
    <x v="0"/>
  </r>
  <r>
    <x v="1"/>
    <x v="6"/>
    <x v="0"/>
    <x v="1"/>
  </r>
  <r>
    <x v="1"/>
    <x v="7"/>
    <x v="1"/>
    <x v="0"/>
  </r>
  <r>
    <x v="2"/>
    <x v="8"/>
    <x v="0"/>
    <x v="1"/>
  </r>
  <r>
    <x v="2"/>
    <x v="8"/>
    <x v="1"/>
    <x v="1"/>
  </r>
  <r>
    <x v="2"/>
    <x v="9"/>
    <x v="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6B00-000000000000}" name="数据透视表1" cacheId="0" dataOnRows="1" applyNumberFormats="0" applyBorderFormats="0" applyFontFormats="0" applyPatternFormats="0" applyAlignmentFormats="0" applyWidthHeightFormats="1" dataCaption="数据" updatedVersion="1" showMemberPropertyTips="0" useAutoFormatting="1" itemPrintTitles="1" createdVersion="1" indent="0" compact="0" compactData="0" gridDropZones="1">
  <location ref="B32:E36" firstHeaderRow="1" firstDataRow="2" firstDataCol="1"/>
  <pivotFields count="4">
    <pivotField axis="axisRow" compact="0" outline="0" subtotalTop="0" showAll="0" includeNewItemsInFilter="1">
      <items count="4">
        <item x="0"/>
        <item h="1" x="1"/>
        <item x="2"/>
        <item t="default"/>
      </items>
    </pivotField>
    <pivotField compact="0" numFmtId="14" outline="0" subtotalTop="0" showAll="0" includeNewItemsInFilter="1"/>
    <pivotField dataField="1" compact="0" outline="0" subtotalTop="0" showAll="0" includeNewItemsInFilter="1"/>
    <pivotField axis="axisCol" compact="0" outline="0" subtotalTop="0" showAll="0" includeNewItemsInFilter="1">
      <items count="3">
        <item x="1"/>
        <item x="0"/>
        <item t="default"/>
      </items>
    </pivotField>
  </pivotFields>
  <rowFields count="1">
    <field x="0"/>
  </rowFields>
  <rowItems count="3">
    <i>
      <x/>
    </i>
    <i>
      <x v="2"/>
    </i>
    <i t="grand">
      <x/>
    </i>
  </rowItems>
  <colFields count="1">
    <field x="3"/>
  </colFields>
  <colItems count="3">
    <i>
      <x/>
    </i>
    <i>
      <x v="1"/>
    </i>
    <i t="grand">
      <x/>
    </i>
  </colItems>
  <dataFields count="1">
    <dataField name="求和项:金额" fld="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4.xml.rels><?xml version="1.0" encoding="UTF-8" standalone="yes"?>
<Relationships xmlns="http://schemas.openxmlformats.org/package/2006/relationships"><Relationship Id="rId1" Type="http://schemas.openxmlformats.org/officeDocument/2006/relationships/hyperlink" Target="mailto:1163077177@QQ.COM" TargetMode="Externa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522"/>
  <sheetViews>
    <sheetView zoomScaleNormal="100" workbookViewId="0">
      <pane ySplit="1" topLeftCell="A139" activePane="bottomLeft" state="frozen"/>
      <selection activeCell="M344" sqref="M344"/>
      <selection pane="bottomLeft" activeCell="D148" sqref="D148"/>
    </sheetView>
  </sheetViews>
  <sheetFormatPr defaultColWidth="9" defaultRowHeight="17.399999999999999"/>
  <cols>
    <col min="1" max="1" width="9.796875" style="85" customWidth="1"/>
    <col min="2" max="2" width="5.09765625" style="4" customWidth="1"/>
    <col min="3" max="3" width="20.09765625" style="4" customWidth="1"/>
    <col min="4" max="4" width="5.69921875" style="86" customWidth="1"/>
    <col min="5" max="5" width="80.19921875" style="4" customWidth="1"/>
    <col min="6" max="6" width="3.69921875" style="4" hidden="1" customWidth="1"/>
    <col min="7" max="7" width="11.69921875" style="4" customWidth="1"/>
    <col min="8" max="8" width="14.19921875" style="4" customWidth="1"/>
    <col min="9" max="12" width="11.19921875" style="4" customWidth="1"/>
    <col min="13" max="16384" width="9" style="4"/>
  </cols>
  <sheetData>
    <row r="1" spans="1:12" ht="2.5499999999999998" customHeight="1">
      <c r="A1" s="449"/>
      <c r="B1" s="450"/>
      <c r="C1" s="450"/>
      <c r="D1" s="450"/>
      <c r="E1" s="450"/>
      <c r="F1" s="1"/>
      <c r="G1" s="2"/>
      <c r="H1" s="2"/>
      <c r="I1" s="2"/>
      <c r="J1" s="3"/>
      <c r="K1" s="2"/>
      <c r="L1" s="2"/>
    </row>
    <row r="2" spans="1:12" ht="28.5" customHeight="1">
      <c r="A2" s="451" t="s">
        <v>0</v>
      </c>
      <c r="B2" s="451"/>
      <c r="C2" s="451"/>
      <c r="D2" s="6"/>
      <c r="E2" s="5" t="s">
        <v>1</v>
      </c>
    </row>
    <row r="3" spans="1:12" ht="0.75" customHeight="1">
      <c r="A3" s="7"/>
      <c r="B3" s="7"/>
      <c r="C3" s="7"/>
      <c r="D3" s="8"/>
      <c r="E3" s="7"/>
      <c r="F3" s="9"/>
      <c r="G3" s="10"/>
      <c r="H3" s="11"/>
    </row>
    <row r="4" spans="1:12" ht="22.5" customHeight="1">
      <c r="A4" s="12" t="s">
        <v>2</v>
      </c>
      <c r="B4" s="452" t="s">
        <v>5784</v>
      </c>
      <c r="C4" s="452"/>
      <c r="D4" s="13"/>
      <c r="E4" s="452" t="str">
        <f>HYPERLINK("#函数宝典说明!C2","函数宝典说明")</f>
        <v>函数宝典说明</v>
      </c>
      <c r="F4" s="452"/>
      <c r="G4" s="10"/>
      <c r="H4" s="11"/>
    </row>
    <row r="5" spans="1:12" s="18" customFormat="1" ht="22.5" customHeight="1">
      <c r="A5" s="14" t="s">
        <v>3</v>
      </c>
      <c r="B5" s="446" t="s">
        <v>4</v>
      </c>
      <c r="C5" s="446"/>
      <c r="D5" s="15"/>
      <c r="E5" s="16" t="str">
        <f>HYPERLINK("#函数字母索引!A3","函数索引")</f>
        <v>函数索引</v>
      </c>
      <c r="F5" s="16"/>
      <c r="G5" s="17"/>
      <c r="H5" s="17"/>
    </row>
    <row r="6" spans="1:12" ht="22.5" customHeight="1">
      <c r="A6" s="19" t="s">
        <v>5</v>
      </c>
      <c r="B6" s="447" t="s">
        <v>6</v>
      </c>
      <c r="C6" s="447"/>
      <c r="D6" s="20"/>
      <c r="E6" s="447" t="str">
        <f>HYPERLINK("#A22","日期与时间函数")</f>
        <v>日期与时间函数</v>
      </c>
      <c r="F6" s="447"/>
      <c r="G6" s="10"/>
      <c r="H6" s="11"/>
    </row>
    <row r="7" spans="1:12" ht="22.5" customHeight="1">
      <c r="A7" s="14" t="s">
        <v>7</v>
      </c>
      <c r="B7" s="446" t="s">
        <v>8</v>
      </c>
      <c r="C7" s="446"/>
      <c r="D7" s="15"/>
      <c r="E7" s="16" t="str">
        <f>HYPERLINK("#A53","数学与三角函数")</f>
        <v>数学与三角函数</v>
      </c>
      <c r="F7" s="16"/>
      <c r="G7" s="10"/>
      <c r="H7" s="11"/>
    </row>
    <row r="8" spans="1:12" s="23" customFormat="1" ht="22.5" customHeight="1" thickBot="1">
      <c r="A8" s="19" t="s">
        <v>9</v>
      </c>
      <c r="B8" s="447" t="s">
        <v>10</v>
      </c>
      <c r="C8" s="447"/>
      <c r="D8" s="20"/>
      <c r="E8" s="447" t="str">
        <f>HYPERLINK("#A135","逻辑函数")</f>
        <v>逻辑函数</v>
      </c>
      <c r="F8" s="447"/>
      <c r="G8" s="21"/>
      <c r="H8" s="22"/>
    </row>
    <row r="9" spans="1:12" ht="22.5" customHeight="1" thickBot="1">
      <c r="A9" s="14" t="s">
        <v>11</v>
      </c>
      <c r="B9" s="446" t="s">
        <v>12</v>
      </c>
      <c r="C9" s="446"/>
      <c r="D9" s="15"/>
      <c r="E9" s="16" t="str">
        <f>HYPERLINK("#A146","查找与引用函数")</f>
        <v>查找与引用函数</v>
      </c>
      <c r="F9" s="16"/>
      <c r="G9" s="10"/>
      <c r="H9" s="11"/>
    </row>
    <row r="10" spans="1:12" s="23" customFormat="1" ht="22.5" customHeight="1" thickBot="1">
      <c r="A10" s="19" t="s">
        <v>13</v>
      </c>
      <c r="B10" s="447" t="s">
        <v>14</v>
      </c>
      <c r="C10" s="447"/>
      <c r="D10" s="20"/>
      <c r="E10" s="447" t="str">
        <f>HYPERLINK("#A493","数据库函数")</f>
        <v>数据库函数</v>
      </c>
      <c r="F10" s="447"/>
      <c r="G10" s="21"/>
      <c r="H10" s="22"/>
    </row>
    <row r="11" spans="1:12" ht="22.5" customHeight="1" thickBot="1">
      <c r="A11" s="14" t="s">
        <v>15</v>
      </c>
      <c r="B11" s="446" t="s">
        <v>16</v>
      </c>
      <c r="C11" s="446"/>
      <c r="D11" s="15"/>
      <c r="E11" s="16" t="str">
        <f>HYPERLINK("#A175","文本函数")</f>
        <v>文本函数</v>
      </c>
      <c r="F11" s="16"/>
      <c r="G11" s="10"/>
      <c r="H11" s="11"/>
    </row>
    <row r="12" spans="1:12" s="23" customFormat="1" ht="22.5" customHeight="1" thickBot="1">
      <c r="A12" s="19" t="s">
        <v>17</v>
      </c>
      <c r="B12" s="447" t="s">
        <v>18</v>
      </c>
      <c r="C12" s="447"/>
      <c r="D12" s="20"/>
      <c r="E12" s="447" t="str">
        <f>HYPERLINK("#A228","统计函数")</f>
        <v>统计函数</v>
      </c>
      <c r="F12" s="447"/>
      <c r="G12" s="21"/>
      <c r="H12" s="22"/>
    </row>
    <row r="13" spans="1:12" ht="22.5" customHeight="1" thickBot="1">
      <c r="A13" s="14" t="s">
        <v>19</v>
      </c>
      <c r="B13" s="446" t="s">
        <v>20</v>
      </c>
      <c r="C13" s="446"/>
      <c r="D13" s="15"/>
      <c r="E13" s="16" t="str">
        <f>HYPERLINK("#A338","财务函数")</f>
        <v>财务函数</v>
      </c>
      <c r="F13" s="16"/>
      <c r="G13" s="10"/>
      <c r="H13" s="11"/>
    </row>
    <row r="14" spans="1:12" s="23" customFormat="1" ht="22.5" customHeight="1" thickBot="1">
      <c r="A14" s="19" t="s">
        <v>21</v>
      </c>
      <c r="B14" s="447" t="s">
        <v>22</v>
      </c>
      <c r="C14" s="447"/>
      <c r="D14" s="20"/>
      <c r="E14" s="447" t="str">
        <f>HYPERLINK("#A416","工程函数")</f>
        <v>工程函数</v>
      </c>
      <c r="F14" s="447"/>
      <c r="G14" s="21"/>
      <c r="H14" s="22"/>
    </row>
    <row r="15" spans="1:12" ht="22.5" customHeight="1" thickBot="1">
      <c r="A15" s="14" t="s">
        <v>23</v>
      </c>
      <c r="B15" s="446" t="s">
        <v>24</v>
      </c>
      <c r="C15" s="446"/>
      <c r="D15" s="15"/>
      <c r="E15" s="16" t="str">
        <f>HYPERLINK("#A469","信息函数")</f>
        <v>信息函数</v>
      </c>
      <c r="F15" s="16"/>
      <c r="G15" s="10"/>
      <c r="H15" s="11"/>
    </row>
    <row r="16" spans="1:12" s="23" customFormat="1" ht="22.5" customHeight="1" thickBot="1">
      <c r="A16" s="19" t="s">
        <v>25</v>
      </c>
      <c r="B16" s="447" t="s">
        <v>26</v>
      </c>
      <c r="C16" s="447"/>
      <c r="D16" s="20"/>
      <c r="E16" s="447" t="str">
        <f>HYPERLINK("#A515","外部函数")</f>
        <v>外部函数</v>
      </c>
      <c r="F16" s="447"/>
      <c r="G16" s="21"/>
      <c r="H16" s="22"/>
    </row>
    <row r="17" spans="1:8" ht="22.5" customHeight="1" thickBot="1">
      <c r="A17" s="14"/>
      <c r="B17" s="446"/>
      <c r="C17" s="446"/>
      <c r="D17" s="15"/>
      <c r="E17" s="16"/>
      <c r="F17" s="16"/>
      <c r="G17" s="10"/>
      <c r="H17" s="11"/>
    </row>
    <row r="18" spans="1:8" ht="22.5" customHeight="1" thickBot="1">
      <c r="A18" s="19"/>
      <c r="B18" s="447"/>
      <c r="C18" s="447"/>
      <c r="D18" s="20"/>
      <c r="E18" s="447"/>
      <c r="F18" s="447"/>
      <c r="G18" s="24"/>
      <c r="H18" s="24"/>
    </row>
    <row r="19" spans="1:8" ht="22.5" customHeight="1" thickBot="1">
      <c r="A19" s="14"/>
      <c r="B19" s="446"/>
      <c r="C19" s="446"/>
      <c r="D19" s="15"/>
      <c r="E19" s="16"/>
      <c r="F19" s="16" t="s">
        <v>27</v>
      </c>
    </row>
    <row r="20" spans="1:8" ht="24" thickBot="1">
      <c r="A20" s="19"/>
      <c r="B20" s="447"/>
      <c r="C20" s="447"/>
      <c r="D20" s="20"/>
      <c r="E20" s="447"/>
      <c r="F20" s="447"/>
    </row>
    <row r="21" spans="1:8" ht="22.5" customHeight="1" thickBot="1">
      <c r="A21" s="25"/>
      <c r="B21" s="26"/>
      <c r="C21" s="27" t="s">
        <v>28</v>
      </c>
      <c r="D21" s="28" t="s">
        <v>1</v>
      </c>
      <c r="E21" s="448" t="s">
        <v>29</v>
      </c>
      <c r="F21" s="448"/>
    </row>
    <row r="22" spans="1:8" ht="22.2">
      <c r="A22" s="29" t="str">
        <f>HYPERLINK("#A2","返回顶行")</f>
        <v>返回顶行</v>
      </c>
      <c r="B22" s="440" t="s">
        <v>6</v>
      </c>
      <c r="C22" s="441"/>
      <c r="D22" s="30" t="s">
        <v>30</v>
      </c>
      <c r="E22" s="31"/>
      <c r="F22" s="32"/>
    </row>
    <row r="23" spans="1:8" ht="22.2">
      <c r="A23" s="33"/>
      <c r="B23" s="34" t="s">
        <v>31</v>
      </c>
      <c r="C23" s="35" t="s">
        <v>32</v>
      </c>
      <c r="D23" s="36"/>
      <c r="E23" s="37"/>
      <c r="F23" s="38" t="s">
        <v>32</v>
      </c>
    </row>
    <row r="24" spans="1:8" ht="19.2">
      <c r="A24" s="39"/>
      <c r="B24" s="40"/>
      <c r="C24" s="41" t="s">
        <v>33</v>
      </c>
      <c r="D24" s="42" t="str">
        <f>HYPERLINK("#计算日期、天数、星期!A1","跳转")</f>
        <v>跳转</v>
      </c>
      <c r="E24" s="41" t="s">
        <v>34</v>
      </c>
      <c r="F24" s="43"/>
    </row>
    <row r="25" spans="1:8" ht="19.2">
      <c r="A25" s="39"/>
      <c r="B25" s="44"/>
      <c r="C25" s="35" t="s">
        <v>35</v>
      </c>
      <c r="D25" s="45" t="str">
        <f>HYPERLINK("#计算日期、天数、星期!A100","跳转")</f>
        <v>跳转</v>
      </c>
      <c r="E25" s="35" t="s">
        <v>36</v>
      </c>
      <c r="F25" s="38"/>
    </row>
    <row r="26" spans="1:8" ht="19.2">
      <c r="A26" s="39"/>
      <c r="B26" s="40"/>
      <c r="C26" s="41" t="s">
        <v>37</v>
      </c>
      <c r="D26" s="42" t="str">
        <f>HYPERLINK("#计算日期、天数、星期!A200","跳转")</f>
        <v>跳转</v>
      </c>
      <c r="E26" s="46" t="s">
        <v>38</v>
      </c>
      <c r="F26" s="43"/>
    </row>
    <row r="27" spans="1:8" ht="19.2">
      <c r="A27" s="39"/>
      <c r="B27" s="47" t="s">
        <v>39</v>
      </c>
      <c r="C27" s="35" t="s">
        <v>40</v>
      </c>
      <c r="D27" s="36"/>
      <c r="E27" s="35"/>
      <c r="F27" s="38"/>
    </row>
    <row r="28" spans="1:8" ht="19.2">
      <c r="A28" s="39"/>
      <c r="B28" s="48"/>
      <c r="C28" s="41" t="s">
        <v>41</v>
      </c>
      <c r="D28" s="42" t="str">
        <f>HYPERLINK("#计算日期、天数、星期!A300","跳转")</f>
        <v>跳转</v>
      </c>
      <c r="E28" s="41" t="s">
        <v>42</v>
      </c>
      <c r="F28" s="43"/>
    </row>
    <row r="29" spans="1:8" ht="19.2">
      <c r="A29" s="39"/>
      <c r="B29" s="47"/>
      <c r="C29" s="35" t="s">
        <v>43</v>
      </c>
      <c r="D29" s="45" t="str">
        <f>HYPERLINK("#计算日期、天数、星期!A400","跳转")</f>
        <v>跳转</v>
      </c>
      <c r="E29" s="35" t="s">
        <v>44</v>
      </c>
      <c r="F29" s="38"/>
    </row>
    <row r="30" spans="1:8" ht="19.2">
      <c r="A30" s="39"/>
      <c r="B30" s="48"/>
      <c r="C30" s="41" t="s">
        <v>45</v>
      </c>
      <c r="D30" s="42" t="str">
        <f>HYPERLINK("#计算日期、天数、星期!A500","跳转")</f>
        <v>跳转</v>
      </c>
      <c r="E30" s="41" t="s">
        <v>46</v>
      </c>
      <c r="F30" s="43"/>
    </row>
    <row r="31" spans="1:8" ht="19.2">
      <c r="A31" s="39"/>
      <c r="B31" s="47" t="s">
        <v>47</v>
      </c>
      <c r="C31" s="49" t="s">
        <v>48</v>
      </c>
      <c r="D31" s="50"/>
      <c r="E31" s="49"/>
      <c r="F31" s="51"/>
    </row>
    <row r="32" spans="1:8" ht="19.2">
      <c r="A32" s="39"/>
      <c r="B32" s="48"/>
      <c r="C32" s="41" t="s">
        <v>49</v>
      </c>
      <c r="D32" s="42" t="str">
        <f>HYPERLINK("#计算日期、天数、星期!A600","跳转")</f>
        <v>跳转</v>
      </c>
      <c r="E32" s="41" t="s">
        <v>50</v>
      </c>
      <c r="F32" s="43"/>
    </row>
    <row r="33" spans="1:6" ht="19.2">
      <c r="A33" s="39"/>
      <c r="B33" s="47" t="s">
        <v>51</v>
      </c>
      <c r="C33" s="49" t="s">
        <v>52</v>
      </c>
      <c r="D33" s="50"/>
      <c r="E33" s="49"/>
      <c r="F33" s="51"/>
    </row>
    <row r="34" spans="1:6" ht="19.2">
      <c r="A34" s="39"/>
      <c r="B34" s="48"/>
      <c r="C34" s="41" t="s">
        <v>53</v>
      </c>
      <c r="D34" s="42" t="str">
        <f>HYPERLINK("#计算日期、天数、星期!A700","跳转")</f>
        <v>跳转</v>
      </c>
      <c r="E34" s="41" t="s">
        <v>54</v>
      </c>
      <c r="F34" s="43"/>
    </row>
    <row r="35" spans="1:6" ht="19.2">
      <c r="A35" s="39"/>
      <c r="B35" s="47" t="s">
        <v>55</v>
      </c>
      <c r="C35" s="49" t="s">
        <v>56</v>
      </c>
      <c r="D35" s="50"/>
      <c r="E35" s="49"/>
      <c r="F35" s="51"/>
    </row>
    <row r="36" spans="1:6" ht="19.2">
      <c r="A36" s="39"/>
      <c r="B36" s="48"/>
      <c r="C36" s="41" t="s">
        <v>57</v>
      </c>
      <c r="D36" s="42" t="str">
        <f>HYPERLINK("#计算日期时间的数值!A1","跳转")</f>
        <v>跳转</v>
      </c>
      <c r="E36" s="41" t="s">
        <v>58</v>
      </c>
      <c r="F36" s="43"/>
    </row>
    <row r="37" spans="1:6" ht="19.2">
      <c r="A37" s="39"/>
      <c r="B37" s="47"/>
      <c r="C37" s="49" t="s">
        <v>59</v>
      </c>
      <c r="D37" s="52" t="str">
        <f>HYPERLINK("#计算日期时间的数值!A100","跳转")</f>
        <v>跳转</v>
      </c>
      <c r="E37" s="49" t="s">
        <v>60</v>
      </c>
      <c r="F37" s="51"/>
    </row>
    <row r="38" spans="1:6" ht="19.2">
      <c r="A38" s="39"/>
      <c r="B38" s="48" t="s">
        <v>61</v>
      </c>
      <c r="C38" s="41" t="s">
        <v>62</v>
      </c>
      <c r="D38" s="53"/>
      <c r="E38" s="41"/>
      <c r="F38" s="43"/>
    </row>
    <row r="39" spans="1:6" ht="19.2">
      <c r="A39" s="39"/>
      <c r="B39" s="47"/>
      <c r="C39" s="49" t="s">
        <v>63</v>
      </c>
      <c r="D39" s="52" t="str">
        <f>HYPERLINK("#计算日期时间的数值!A200","跳转")</f>
        <v>跳转</v>
      </c>
      <c r="E39" s="49" t="s">
        <v>64</v>
      </c>
      <c r="F39" s="51"/>
    </row>
    <row r="40" spans="1:6" ht="19.2">
      <c r="A40" s="39"/>
      <c r="B40" s="48"/>
      <c r="C40" s="41" t="s">
        <v>65</v>
      </c>
      <c r="D40" s="42" t="str">
        <f>HYPERLINK("#计算日期时间的数值!A300","跳转")</f>
        <v>跳转</v>
      </c>
      <c r="E40" s="41" t="s">
        <v>66</v>
      </c>
      <c r="F40" s="43"/>
    </row>
    <row r="41" spans="1:6" ht="19.2">
      <c r="A41" s="39"/>
      <c r="B41" s="47" t="s">
        <v>67</v>
      </c>
      <c r="C41" s="49" t="s">
        <v>68</v>
      </c>
      <c r="D41" s="50"/>
      <c r="E41" s="49"/>
      <c r="F41" s="51"/>
    </row>
    <row r="42" spans="1:6" ht="19.2">
      <c r="A42" s="39"/>
      <c r="B42" s="48"/>
      <c r="C42" s="41" t="s">
        <v>69</v>
      </c>
      <c r="D42" s="42" t="str">
        <f>HYPERLINK("#TODAY与NOW!A1","跳转")</f>
        <v>跳转</v>
      </c>
      <c r="E42" s="41" t="s">
        <v>70</v>
      </c>
      <c r="F42" s="43"/>
    </row>
    <row r="43" spans="1:6" ht="19.2">
      <c r="A43" s="39"/>
      <c r="B43" s="47"/>
      <c r="C43" s="49" t="s">
        <v>71</v>
      </c>
      <c r="D43" s="52" t="str">
        <f>HYPERLINK("#TODAY与NOW!A100","跳转")</f>
        <v>跳转</v>
      </c>
      <c r="E43" s="49" t="s">
        <v>72</v>
      </c>
      <c r="F43" s="51"/>
    </row>
    <row r="44" spans="1:6" ht="20.25" customHeight="1">
      <c r="A44" s="39"/>
      <c r="B44" s="48" t="s">
        <v>73</v>
      </c>
      <c r="C44" s="54" t="s">
        <v>74</v>
      </c>
      <c r="D44" s="55"/>
      <c r="E44" s="55"/>
      <c r="F44" s="43"/>
    </row>
    <row r="45" spans="1:6" ht="19.2">
      <c r="A45" s="39"/>
      <c r="B45" s="47"/>
      <c r="C45" s="49" t="s">
        <v>75</v>
      </c>
      <c r="D45" s="52" t="str">
        <f>HYPERLINK("#提取年月日星期数函数!A1","跳转")</f>
        <v>跳转</v>
      </c>
      <c r="E45" s="49" t="s">
        <v>76</v>
      </c>
      <c r="F45" s="51"/>
    </row>
    <row r="46" spans="1:6" ht="19.2">
      <c r="A46" s="39"/>
      <c r="B46" s="48"/>
      <c r="C46" s="41" t="s">
        <v>77</v>
      </c>
      <c r="D46" s="42" t="str">
        <f>HYPERLINK("#提取年月日星期数函数!A100","跳转")</f>
        <v>跳转</v>
      </c>
      <c r="E46" s="41" t="s">
        <v>78</v>
      </c>
      <c r="F46" s="43"/>
    </row>
    <row r="47" spans="1:6" ht="19.2">
      <c r="A47" s="39"/>
      <c r="B47" s="47"/>
      <c r="C47" s="49" t="s">
        <v>79</v>
      </c>
      <c r="D47" s="52" t="str">
        <f>HYPERLINK("#提取年月日星期数函数!A200","跳转")</f>
        <v>跳转</v>
      </c>
      <c r="E47" s="49" t="s">
        <v>80</v>
      </c>
      <c r="F47" s="51"/>
    </row>
    <row r="48" spans="1:6" ht="19.2">
      <c r="A48" s="39"/>
      <c r="B48" s="48"/>
      <c r="C48" s="41" t="s">
        <v>81</v>
      </c>
      <c r="D48" s="42" t="str">
        <f>HYPERLINK("#提取年月日星期数函数!A300","跳转")</f>
        <v>跳转</v>
      </c>
      <c r="E48" s="41" t="s">
        <v>82</v>
      </c>
      <c r="F48" s="43"/>
    </row>
    <row r="49" spans="1:6" ht="20.25" customHeight="1">
      <c r="A49" s="39"/>
      <c r="B49" s="56" t="s">
        <v>73</v>
      </c>
      <c r="C49" s="49" t="s">
        <v>83</v>
      </c>
      <c r="D49" s="49"/>
      <c r="E49" s="49"/>
      <c r="F49" s="51"/>
    </row>
    <row r="50" spans="1:6" ht="19.2">
      <c r="A50" s="39"/>
      <c r="B50" s="48"/>
      <c r="C50" s="41" t="s">
        <v>84</v>
      </c>
      <c r="D50" s="42" t="str">
        <f>HYPERLINK("#提取时分秒!A1","跳转")</f>
        <v>跳转</v>
      </c>
      <c r="E50" s="41" t="s">
        <v>85</v>
      </c>
      <c r="F50" s="43"/>
    </row>
    <row r="51" spans="1:6" ht="19.2">
      <c r="A51" s="39"/>
      <c r="B51" s="47"/>
      <c r="C51" s="49" t="s">
        <v>86</v>
      </c>
      <c r="D51" s="52" t="str">
        <f>HYPERLINK("#提取时分秒!A100","跳转")</f>
        <v>跳转</v>
      </c>
      <c r="E51" s="49" t="s">
        <v>87</v>
      </c>
      <c r="F51" s="51"/>
    </row>
    <row r="52" spans="1:6" ht="19.2">
      <c r="A52" s="39"/>
      <c r="B52" s="48"/>
      <c r="C52" s="41" t="s">
        <v>88</v>
      </c>
      <c r="D52" s="42" t="str">
        <f>HYPERLINK("#提取时分秒!A200","跳转")</f>
        <v>跳转</v>
      </c>
      <c r="E52" s="41" t="s">
        <v>89</v>
      </c>
      <c r="F52" s="43"/>
    </row>
    <row r="53" spans="1:6" ht="22.2">
      <c r="A53" s="29" t="str">
        <f>HYPERLINK("#A2","返回顶行")</f>
        <v>返回顶行</v>
      </c>
      <c r="B53" s="440" t="s">
        <v>8</v>
      </c>
      <c r="C53" s="441"/>
      <c r="D53" s="30" t="s">
        <v>90</v>
      </c>
      <c r="E53" s="31"/>
      <c r="F53" s="31"/>
    </row>
    <row r="54" spans="1:6" ht="21.75" customHeight="1">
      <c r="A54" s="57"/>
      <c r="B54" s="48" t="s">
        <v>31</v>
      </c>
      <c r="C54" s="41" t="s">
        <v>91</v>
      </c>
      <c r="D54" s="53"/>
      <c r="E54" s="41"/>
      <c r="F54" s="43"/>
    </row>
    <row r="55" spans="1:6" ht="21.75" customHeight="1">
      <c r="A55" s="39"/>
      <c r="B55" s="47"/>
      <c r="C55" s="49" t="s">
        <v>92</v>
      </c>
      <c r="D55" s="52" t="str">
        <f>HYPERLINK("#"&amp;C55&amp;"!A1","跳转")</f>
        <v>跳转</v>
      </c>
      <c r="E55" s="49" t="s">
        <v>93</v>
      </c>
      <c r="F55" s="51"/>
    </row>
    <row r="56" spans="1:6" ht="21.75" customHeight="1">
      <c r="A56" s="39"/>
      <c r="B56" s="58"/>
      <c r="C56" s="59" t="s">
        <v>94</v>
      </c>
      <c r="D56" s="42" t="str">
        <f>HYPERLINK("#"&amp;C56&amp;"!A1","跳转")</f>
        <v>跳转</v>
      </c>
      <c r="E56" s="41" t="s">
        <v>95</v>
      </c>
      <c r="F56" s="43"/>
    </row>
    <row r="57" spans="1:6" ht="21.75" customHeight="1">
      <c r="A57" s="39"/>
      <c r="B57" s="47"/>
      <c r="C57" s="60" t="s">
        <v>96</v>
      </c>
      <c r="D57" s="52" t="str">
        <f>HYPERLINK("#"&amp;C57&amp;"!A1","跳转")</f>
        <v>跳转</v>
      </c>
      <c r="E57" s="61" t="s">
        <v>97</v>
      </c>
      <c r="F57" s="51"/>
    </row>
    <row r="58" spans="1:6" ht="21.75" customHeight="1">
      <c r="A58" s="57"/>
      <c r="B58" s="48" t="s">
        <v>39</v>
      </c>
      <c r="C58" s="41" t="s">
        <v>98</v>
      </c>
      <c r="D58" s="53"/>
      <c r="E58" s="41"/>
      <c r="F58" s="43"/>
    </row>
    <row r="59" spans="1:6" ht="21.75" customHeight="1">
      <c r="A59" s="39"/>
      <c r="B59" s="47"/>
      <c r="C59" s="60" t="s">
        <v>99</v>
      </c>
      <c r="D59" s="52" t="str">
        <f>HYPERLINK("#"&amp;C59&amp;"!A1","跳转")</f>
        <v>跳转</v>
      </c>
      <c r="E59" s="49" t="s">
        <v>100</v>
      </c>
      <c r="F59" s="51"/>
    </row>
    <row r="60" spans="1:6" ht="21.75" customHeight="1">
      <c r="A60" s="39"/>
      <c r="B60" s="48"/>
      <c r="C60" s="62" t="s">
        <v>101</v>
      </c>
      <c r="D60" s="42" t="str">
        <f>HYPERLINK("#"&amp;C60&amp;"!A1","跳转")</f>
        <v>跳转</v>
      </c>
      <c r="E60" s="41" t="s">
        <v>102</v>
      </c>
      <c r="F60" s="43"/>
    </row>
    <row r="61" spans="1:6" ht="21.75" customHeight="1">
      <c r="A61" s="39"/>
      <c r="B61" s="47"/>
      <c r="C61" s="60" t="s">
        <v>103</v>
      </c>
      <c r="D61" s="52" t="str">
        <f>HYPERLINK("#"&amp;C61&amp;"!A1","跳转")</f>
        <v>跳转</v>
      </c>
      <c r="E61" s="61" t="s">
        <v>104</v>
      </c>
      <c r="F61" s="51"/>
    </row>
    <row r="62" spans="1:6" ht="21.75" customHeight="1">
      <c r="A62" s="39"/>
      <c r="B62" s="48" t="s">
        <v>47</v>
      </c>
      <c r="C62" s="41" t="s">
        <v>105</v>
      </c>
      <c r="D62" s="53"/>
      <c r="E62" s="63"/>
      <c r="F62" s="43"/>
    </row>
    <row r="63" spans="1:6" ht="21.75" customHeight="1">
      <c r="A63" s="39"/>
      <c r="B63" s="47"/>
      <c r="C63" s="49" t="s">
        <v>106</v>
      </c>
      <c r="D63" s="52" t="str">
        <f>HYPERLINK("#数组的平方计算!A1","跳转")</f>
        <v>跳转</v>
      </c>
      <c r="E63" s="61" t="s">
        <v>107</v>
      </c>
      <c r="F63" s="51"/>
    </row>
    <row r="64" spans="1:6" ht="21.75" customHeight="1">
      <c r="A64" s="39"/>
      <c r="B64" s="48"/>
      <c r="C64" s="41" t="s">
        <v>108</v>
      </c>
      <c r="D64" s="42" t="str">
        <f>HYPERLINK("#数组的平方计算!A100","跳转")</f>
        <v>跳转</v>
      </c>
      <c r="E64" s="63" t="s">
        <v>109</v>
      </c>
      <c r="F64" s="43"/>
    </row>
    <row r="65" spans="1:6" ht="21.75" customHeight="1">
      <c r="A65" s="39"/>
      <c r="B65" s="47"/>
      <c r="C65" s="49" t="s">
        <v>110</v>
      </c>
      <c r="D65" s="52" t="str">
        <f>HYPERLINK("#数组的平方计算!A200","跳转")</f>
        <v>跳转</v>
      </c>
      <c r="E65" s="61" t="s">
        <v>111</v>
      </c>
      <c r="F65" s="51"/>
    </row>
    <row r="66" spans="1:6" ht="21.75" customHeight="1">
      <c r="A66" s="57"/>
      <c r="B66" s="48" t="s">
        <v>51</v>
      </c>
      <c r="C66" s="41" t="s">
        <v>112</v>
      </c>
      <c r="D66" s="53"/>
      <c r="E66" s="41"/>
      <c r="F66" s="43" t="s">
        <v>113</v>
      </c>
    </row>
    <row r="67" spans="1:6" ht="21.75" customHeight="1">
      <c r="A67" s="39"/>
      <c r="B67" s="47"/>
      <c r="C67" s="60" t="s">
        <v>114</v>
      </c>
      <c r="D67" s="52" t="str">
        <f>HYPERLINK("#SUBTOTAL!A1","跳转")</f>
        <v>跳转</v>
      </c>
      <c r="E67" s="61" t="s">
        <v>112</v>
      </c>
      <c r="F67" s="51"/>
    </row>
    <row r="68" spans="1:6" ht="21.75" customHeight="1">
      <c r="A68" s="57"/>
      <c r="B68" s="48" t="s">
        <v>55</v>
      </c>
      <c r="C68" s="41" t="s">
        <v>115</v>
      </c>
      <c r="D68" s="53"/>
      <c r="E68" s="41"/>
      <c r="F68" s="43"/>
    </row>
    <row r="69" spans="1:6" ht="21.75" customHeight="1">
      <c r="A69" s="39"/>
      <c r="B69" s="47"/>
      <c r="C69" s="60" t="s">
        <v>116</v>
      </c>
      <c r="D69" s="52" t="str">
        <f>HYPERLINK("#数值舍入取整!A1","跳转")</f>
        <v>跳转</v>
      </c>
      <c r="E69" s="49" t="s">
        <v>117</v>
      </c>
      <c r="F69" s="51"/>
    </row>
    <row r="70" spans="1:6" ht="21.75" customHeight="1">
      <c r="A70" s="39"/>
      <c r="B70" s="48"/>
      <c r="C70" s="59" t="s">
        <v>118</v>
      </c>
      <c r="D70" s="42" t="str">
        <f>HYPERLINK("#数值舍入取整!A100","跳转")</f>
        <v>跳转</v>
      </c>
      <c r="E70" s="41" t="s">
        <v>119</v>
      </c>
      <c r="F70" s="43"/>
    </row>
    <row r="71" spans="1:6" ht="21.75" customHeight="1">
      <c r="A71" s="39"/>
      <c r="B71" s="47"/>
      <c r="C71" s="49" t="s">
        <v>120</v>
      </c>
      <c r="D71" s="52" t="str">
        <f>HYPERLINK("#数值舍入取整!A200","跳转")</f>
        <v>跳转</v>
      </c>
      <c r="E71" s="49" t="s">
        <v>121</v>
      </c>
      <c r="F71" s="51"/>
    </row>
    <row r="72" spans="1:6" ht="21.75" customHeight="1">
      <c r="A72" s="39"/>
      <c r="B72" s="48"/>
      <c r="C72" s="41" t="s">
        <v>122</v>
      </c>
      <c r="D72" s="42" t="str">
        <f>HYPERLINK("#数值舍入取整!A300","跳转")</f>
        <v>跳转</v>
      </c>
      <c r="E72" s="41" t="s">
        <v>123</v>
      </c>
      <c r="F72" s="43"/>
    </row>
    <row r="73" spans="1:6" ht="21.75" customHeight="1">
      <c r="A73" s="39"/>
      <c r="B73" s="47"/>
      <c r="C73" s="49" t="s">
        <v>124</v>
      </c>
      <c r="D73" s="52" t="str">
        <f>HYPERLINK("#数值舍入取整!A400","跳转")</f>
        <v>跳转</v>
      </c>
      <c r="E73" s="49" t="s">
        <v>125</v>
      </c>
      <c r="F73" s="51"/>
    </row>
    <row r="74" spans="1:6" ht="21.75" customHeight="1">
      <c r="A74" s="39"/>
      <c r="B74" s="48"/>
      <c r="C74" s="41" t="s">
        <v>126</v>
      </c>
      <c r="D74" s="42" t="str">
        <f>HYPERLINK("#数值舍入取整!A500","跳转")</f>
        <v>跳转</v>
      </c>
      <c r="E74" s="41" t="s">
        <v>127</v>
      </c>
      <c r="F74" s="43"/>
    </row>
    <row r="75" spans="1:6" ht="21.75" customHeight="1">
      <c r="A75" s="39"/>
      <c r="B75" s="47"/>
      <c r="C75" s="49" t="s">
        <v>128</v>
      </c>
      <c r="D75" s="52" t="str">
        <f>HYPERLINK("#数值舍入取整!A600","跳转")</f>
        <v>跳转</v>
      </c>
      <c r="E75" s="49" t="s">
        <v>129</v>
      </c>
      <c r="F75" s="51"/>
    </row>
    <row r="76" spans="1:6" ht="21.75" customHeight="1">
      <c r="A76" s="39"/>
      <c r="B76" s="48"/>
      <c r="C76" s="41" t="s">
        <v>130</v>
      </c>
      <c r="D76" s="42" t="str">
        <f>HYPERLINK("#数值舍入取整!A700","跳转")</f>
        <v>跳转</v>
      </c>
      <c r="E76" s="41" t="s">
        <v>131</v>
      </c>
      <c r="F76" s="43"/>
    </row>
    <row r="77" spans="1:6" ht="21.75" customHeight="1">
      <c r="A77" s="39"/>
      <c r="B77" s="47"/>
      <c r="C77" s="49" t="s">
        <v>132</v>
      </c>
      <c r="D77" s="52" t="str">
        <f>HYPERLINK("#数值舍入取整!A800","跳转")</f>
        <v>跳转</v>
      </c>
      <c r="E77" s="49" t="s">
        <v>133</v>
      </c>
      <c r="F77" s="51"/>
    </row>
    <row r="78" spans="1:6" ht="21.75" customHeight="1">
      <c r="A78" s="64"/>
      <c r="B78" s="48"/>
      <c r="C78" s="41" t="s">
        <v>134</v>
      </c>
      <c r="D78" s="42" t="str">
        <f>HYPERLINK("#数值舍入取整!A900","跳转")</f>
        <v>跳转</v>
      </c>
      <c r="E78" s="41" t="s">
        <v>135</v>
      </c>
      <c r="F78" s="43"/>
    </row>
    <row r="79" spans="1:6" ht="21.75" customHeight="1">
      <c r="A79" s="39"/>
      <c r="B79" s="47" t="s">
        <v>61</v>
      </c>
      <c r="C79" s="49" t="s">
        <v>136</v>
      </c>
      <c r="D79" s="65"/>
      <c r="E79" s="65"/>
      <c r="F79" s="51"/>
    </row>
    <row r="80" spans="1:6" ht="21.75" customHeight="1">
      <c r="A80" s="39"/>
      <c r="B80" s="48"/>
      <c r="C80" s="41" t="s">
        <v>137</v>
      </c>
      <c r="D80" s="42" t="str">
        <f>HYPERLINK("#商的整数部分或余数!A1","跳转")</f>
        <v>跳转</v>
      </c>
      <c r="E80" s="41" t="s">
        <v>138</v>
      </c>
      <c r="F80" s="43"/>
    </row>
    <row r="81" spans="1:6" ht="21.75" customHeight="1">
      <c r="A81" s="64"/>
      <c r="B81" s="47"/>
      <c r="C81" s="49" t="s">
        <v>139</v>
      </c>
      <c r="D81" s="52" t="str">
        <f>HYPERLINK("#商的整数部分或余数!A100","跳转")</f>
        <v>跳转</v>
      </c>
      <c r="E81" s="49" t="s">
        <v>140</v>
      </c>
      <c r="F81" s="51"/>
    </row>
    <row r="82" spans="1:6" ht="21.75" customHeight="1">
      <c r="A82" s="39"/>
      <c r="B82" s="48" t="s">
        <v>67</v>
      </c>
      <c r="C82" s="54" t="s">
        <v>141</v>
      </c>
      <c r="D82" s="55"/>
      <c r="E82" s="55"/>
      <c r="F82" s="43"/>
    </row>
    <row r="83" spans="1:6" ht="21.75" customHeight="1">
      <c r="A83" s="39"/>
      <c r="B83" s="47"/>
      <c r="C83" s="49" t="s">
        <v>142</v>
      </c>
      <c r="D83" s="52" t="str">
        <f>HYPERLINK("#最大公约数或最小公倍数!A1","跳转")</f>
        <v>跳转</v>
      </c>
      <c r="E83" s="49" t="s">
        <v>143</v>
      </c>
      <c r="F83" s="51"/>
    </row>
    <row r="84" spans="1:6" ht="21.75" customHeight="1">
      <c r="A84" s="39"/>
      <c r="B84" s="48"/>
      <c r="C84" s="41" t="s">
        <v>144</v>
      </c>
      <c r="D84" s="42" t="str">
        <f>HYPERLINK("#最大公约数或最小公倍数!A100","跳转")</f>
        <v>跳转</v>
      </c>
      <c r="E84" s="41" t="s">
        <v>145</v>
      </c>
      <c r="F84" s="43"/>
    </row>
    <row r="85" spans="1:6" ht="21.75" customHeight="1">
      <c r="A85" s="39"/>
      <c r="B85" s="47" t="s">
        <v>73</v>
      </c>
      <c r="C85" s="66" t="s">
        <v>146</v>
      </c>
      <c r="D85" s="50"/>
      <c r="E85" s="49"/>
      <c r="F85" s="51"/>
    </row>
    <row r="86" spans="1:6" ht="21.75" customHeight="1">
      <c r="A86" s="39"/>
      <c r="B86" s="48"/>
      <c r="C86" s="41" t="s">
        <v>147</v>
      </c>
      <c r="D86" s="42" t="str">
        <f>HYPERLINK("#转换或检查符号!A1","跳转")</f>
        <v>跳转</v>
      </c>
      <c r="E86" s="41" t="s">
        <v>148</v>
      </c>
      <c r="F86" s="43"/>
    </row>
    <row r="87" spans="1:6" ht="21.75" customHeight="1">
      <c r="A87" s="39"/>
      <c r="B87" s="47"/>
      <c r="C87" s="49" t="s">
        <v>149</v>
      </c>
      <c r="D87" s="52" t="str">
        <f>HYPERLINK("#转换或检查符号!A100","跳转")</f>
        <v>跳转</v>
      </c>
      <c r="E87" s="49" t="s">
        <v>150</v>
      </c>
      <c r="F87" s="51"/>
    </row>
    <row r="88" spans="1:6" ht="21.75" customHeight="1">
      <c r="A88" s="39"/>
      <c r="B88" s="48" t="s">
        <v>151</v>
      </c>
      <c r="C88" s="67" t="s">
        <v>152</v>
      </c>
      <c r="D88" s="53"/>
      <c r="E88" s="41"/>
      <c r="F88" s="43"/>
    </row>
    <row r="89" spans="1:6" ht="21.75" customHeight="1">
      <c r="A89" s="39"/>
      <c r="B89" s="47"/>
      <c r="C89" s="49" t="s">
        <v>153</v>
      </c>
      <c r="D89" s="52" t="str">
        <f>HYPERLINK("#组合的计算!A1","跳转")</f>
        <v>跳转</v>
      </c>
      <c r="E89" s="49" t="s">
        <v>154</v>
      </c>
      <c r="F89" s="51"/>
    </row>
    <row r="90" spans="1:6" ht="21.75" customHeight="1">
      <c r="A90" s="39"/>
      <c r="B90" s="48"/>
      <c r="C90" s="41" t="s">
        <v>155</v>
      </c>
      <c r="D90" s="42" t="str">
        <f>HYPERLINK("#组合的计算!A100","跳转")</f>
        <v>跳转</v>
      </c>
      <c r="E90" s="41" t="s">
        <v>156</v>
      </c>
      <c r="F90" s="43"/>
    </row>
    <row r="91" spans="1:6" ht="21.75" customHeight="1">
      <c r="A91" s="39"/>
      <c r="B91" s="47"/>
      <c r="C91" s="49" t="s">
        <v>157</v>
      </c>
      <c r="D91" s="52" t="str">
        <f>HYPERLINK("#组合的计算!A200","跳转")</f>
        <v>跳转</v>
      </c>
      <c r="E91" s="49" t="s">
        <v>158</v>
      </c>
      <c r="F91" s="51"/>
    </row>
    <row r="92" spans="1:6" ht="21.75" customHeight="1">
      <c r="A92" s="39"/>
      <c r="B92" s="48"/>
      <c r="C92" s="41" t="s">
        <v>159</v>
      </c>
      <c r="D92" s="42" t="str">
        <f>HYPERLINK("#组合的计算!A300","跳转")</f>
        <v>跳转</v>
      </c>
      <c r="E92" s="41" t="s">
        <v>160</v>
      </c>
      <c r="F92" s="43"/>
    </row>
    <row r="93" spans="1:6" ht="21.75" customHeight="1">
      <c r="A93" s="39"/>
      <c r="B93" s="47"/>
      <c r="C93" s="49" t="s">
        <v>161</v>
      </c>
      <c r="D93" s="52" t="str">
        <f>HYPERLINK("#组合的计算!A400","跳转")</f>
        <v>跳转</v>
      </c>
      <c r="E93" s="49" t="s">
        <v>162</v>
      </c>
      <c r="F93" s="51"/>
    </row>
    <row r="94" spans="1:6" ht="21.75" customHeight="1">
      <c r="A94" s="39"/>
      <c r="B94" s="48" t="s">
        <v>163</v>
      </c>
      <c r="C94" s="67" t="s">
        <v>164</v>
      </c>
      <c r="D94" s="53"/>
      <c r="E94" s="41"/>
      <c r="F94" s="43"/>
    </row>
    <row r="95" spans="1:6" ht="21.75" customHeight="1">
      <c r="A95" s="39"/>
      <c r="B95" s="47"/>
      <c r="C95" s="49" t="s">
        <v>165</v>
      </c>
      <c r="D95" s="52" t="str">
        <f>HYPERLINK("#计算幂级数与平方根!A1","跳转")</f>
        <v>跳转</v>
      </c>
      <c r="E95" s="49" t="s">
        <v>164</v>
      </c>
      <c r="F95" s="51"/>
    </row>
    <row r="96" spans="1:6" ht="19.2">
      <c r="A96" s="39"/>
      <c r="B96" s="48" t="s">
        <v>166</v>
      </c>
      <c r="C96" s="67" t="s">
        <v>167</v>
      </c>
      <c r="D96" s="53"/>
      <c r="E96" s="41"/>
      <c r="F96" s="43"/>
    </row>
    <row r="97" spans="1:6" ht="19.2">
      <c r="A97" s="39"/>
      <c r="B97" s="47"/>
      <c r="C97" s="49" t="s">
        <v>168</v>
      </c>
      <c r="D97" s="52" t="str">
        <f>HYPERLINK("#计算幂级数与平方根!A100","跳转")</f>
        <v>跳转</v>
      </c>
      <c r="E97" s="49" t="s">
        <v>167</v>
      </c>
      <c r="F97" s="51"/>
    </row>
    <row r="98" spans="1:6" ht="19.2">
      <c r="A98" s="39"/>
      <c r="B98" s="48"/>
      <c r="C98" s="41" t="s">
        <v>169</v>
      </c>
      <c r="D98" s="42" t="str">
        <f>HYPERLINK("#计算幂级数与平方根!A200","跳转")</f>
        <v>跳转</v>
      </c>
      <c r="E98" s="41" t="s">
        <v>170</v>
      </c>
      <c r="F98" s="43"/>
    </row>
    <row r="99" spans="1:6" ht="19.2">
      <c r="A99" s="39"/>
      <c r="B99" s="47" t="s">
        <v>171</v>
      </c>
      <c r="C99" s="66" t="s">
        <v>172</v>
      </c>
      <c r="D99" s="50"/>
      <c r="E99" s="49"/>
      <c r="F99" s="51"/>
    </row>
    <row r="100" spans="1:6" ht="19.2">
      <c r="A100" s="39"/>
      <c r="B100" s="48"/>
      <c r="C100" s="41" t="s">
        <v>173</v>
      </c>
      <c r="D100" s="42" t="str">
        <f>HYPERLINK("#指数与对数函数!A1","跳转")</f>
        <v>跳转</v>
      </c>
      <c r="E100" s="41" t="s">
        <v>174</v>
      </c>
      <c r="F100" s="43"/>
    </row>
    <row r="101" spans="1:6" ht="19.2">
      <c r="A101" s="39"/>
      <c r="B101" s="47"/>
      <c r="C101" s="49" t="s">
        <v>175</v>
      </c>
      <c r="D101" s="52" t="str">
        <f>HYPERLINK("#指数与对数函数!A100","跳转")</f>
        <v>跳转</v>
      </c>
      <c r="E101" s="49" t="s">
        <v>176</v>
      </c>
      <c r="F101" s="51"/>
    </row>
    <row r="102" spans="1:6" ht="19.2">
      <c r="A102" s="39"/>
      <c r="B102" s="48" t="s">
        <v>177</v>
      </c>
      <c r="C102" s="67" t="s">
        <v>178</v>
      </c>
      <c r="D102" s="53"/>
      <c r="E102" s="41"/>
      <c r="F102" s="43"/>
    </row>
    <row r="103" spans="1:6" ht="19.2">
      <c r="A103" s="39"/>
      <c r="B103" s="47"/>
      <c r="C103" s="49" t="s">
        <v>179</v>
      </c>
      <c r="D103" s="52" t="str">
        <f>HYPERLINK("#指数与对数函数!A200","跳转")</f>
        <v>跳转</v>
      </c>
      <c r="E103" s="49" t="s">
        <v>180</v>
      </c>
      <c r="F103" s="51"/>
    </row>
    <row r="104" spans="1:6" ht="19.2">
      <c r="A104" s="39"/>
      <c r="B104" s="48"/>
      <c r="C104" s="41" t="s">
        <v>181</v>
      </c>
      <c r="D104" s="42" t="str">
        <f>HYPERLINK("#指数与对数函数!A300","跳转")</f>
        <v>跳转</v>
      </c>
      <c r="E104" s="41" t="s">
        <v>182</v>
      </c>
      <c r="F104" s="43"/>
    </row>
    <row r="105" spans="1:6" ht="19.2">
      <c r="A105" s="39"/>
      <c r="B105" s="47"/>
      <c r="C105" s="49" t="s">
        <v>183</v>
      </c>
      <c r="D105" s="52" t="str">
        <f>HYPERLINK("#指数与对数函数!A400","跳转")</f>
        <v>跳转</v>
      </c>
      <c r="E105" s="49" t="s">
        <v>184</v>
      </c>
      <c r="F105" s="51"/>
    </row>
    <row r="106" spans="1:6" ht="19.2">
      <c r="A106" s="39"/>
      <c r="B106" s="48" t="s">
        <v>185</v>
      </c>
      <c r="C106" s="67" t="s">
        <v>186</v>
      </c>
      <c r="D106" s="53"/>
      <c r="E106" s="41"/>
      <c r="F106" s="43"/>
    </row>
    <row r="107" spans="1:6" ht="19.2">
      <c r="A107" s="39"/>
      <c r="B107" s="47"/>
      <c r="C107" s="49" t="s">
        <v>187</v>
      </c>
      <c r="D107" s="52" t="str">
        <f>HYPERLINK("#计算圆周率与角度和弧度的转换!A1","跳转")</f>
        <v>跳转</v>
      </c>
      <c r="E107" s="49" t="s">
        <v>188</v>
      </c>
      <c r="F107" s="51"/>
    </row>
    <row r="108" spans="1:6" ht="19.2">
      <c r="A108" s="39"/>
      <c r="B108" s="48" t="s">
        <v>189</v>
      </c>
      <c r="C108" s="67" t="s">
        <v>190</v>
      </c>
      <c r="D108" s="53"/>
      <c r="E108" s="41"/>
      <c r="F108" s="43"/>
    </row>
    <row r="109" spans="1:6" ht="19.2">
      <c r="A109" s="39"/>
      <c r="B109" s="47"/>
      <c r="C109" s="66" t="s">
        <v>191</v>
      </c>
      <c r="D109" s="52" t="str">
        <f>HYPERLINK("#计算圆周率与角度和弧度的转换!A100","跳转")</f>
        <v>跳转</v>
      </c>
      <c r="E109" s="49" t="s">
        <v>192</v>
      </c>
      <c r="F109" s="51"/>
    </row>
    <row r="110" spans="1:6" ht="19.2">
      <c r="A110" s="39"/>
      <c r="B110" s="48"/>
      <c r="C110" s="67" t="s">
        <v>193</v>
      </c>
      <c r="D110" s="42" t="str">
        <f>HYPERLINK("#计算圆周率与角度和弧度的转换!A200","跳转")</f>
        <v>跳转</v>
      </c>
      <c r="E110" s="41" t="s">
        <v>194</v>
      </c>
      <c r="F110" s="43"/>
    </row>
    <row r="111" spans="1:6" ht="19.2">
      <c r="A111" s="39"/>
      <c r="B111" s="47" t="s">
        <v>195</v>
      </c>
      <c r="C111" s="66" t="s">
        <v>196</v>
      </c>
      <c r="D111" s="50"/>
      <c r="E111" s="49"/>
      <c r="F111" s="51"/>
    </row>
    <row r="112" spans="1:6" ht="19.2">
      <c r="A112" s="39"/>
      <c r="B112" s="48"/>
      <c r="C112" s="67" t="s">
        <v>197</v>
      </c>
      <c r="D112" s="42" t="str">
        <f>HYPERLINK("#三角与反三角函数!A1","跳转")</f>
        <v>跳转</v>
      </c>
      <c r="E112" s="41" t="s">
        <v>198</v>
      </c>
      <c r="F112" s="43"/>
    </row>
    <row r="113" spans="1:6" ht="19.2">
      <c r="A113" s="39"/>
      <c r="B113" s="47"/>
      <c r="C113" s="66" t="s">
        <v>199</v>
      </c>
      <c r="D113" s="52" t="str">
        <f>HYPERLINK("#三角与反三角函数!A100","跳转")</f>
        <v>跳转</v>
      </c>
      <c r="E113" s="49" t="s">
        <v>200</v>
      </c>
      <c r="F113" s="51"/>
    </row>
    <row r="114" spans="1:6" ht="19.2">
      <c r="A114" s="39"/>
      <c r="B114" s="48"/>
      <c r="C114" s="67" t="s">
        <v>201</v>
      </c>
      <c r="D114" s="42" t="str">
        <f>HYPERLINK("#三角与反三角函数!A200","跳转")</f>
        <v>跳转</v>
      </c>
      <c r="E114" s="41" t="s">
        <v>202</v>
      </c>
      <c r="F114" s="43"/>
    </row>
    <row r="115" spans="1:6" ht="19.2">
      <c r="A115" s="39"/>
      <c r="B115" s="47" t="s">
        <v>203</v>
      </c>
      <c r="C115" s="66" t="s">
        <v>204</v>
      </c>
      <c r="D115" s="50"/>
      <c r="E115" s="49"/>
      <c r="F115" s="51"/>
    </row>
    <row r="116" spans="1:6" ht="19.2">
      <c r="A116" s="39"/>
      <c r="B116" s="48"/>
      <c r="C116" s="67" t="s">
        <v>205</v>
      </c>
      <c r="D116" s="42" t="str">
        <f>HYPERLINK("#三角与反三角函数!A300","跳转")</f>
        <v>跳转</v>
      </c>
      <c r="E116" s="41" t="s">
        <v>206</v>
      </c>
      <c r="F116" s="43"/>
    </row>
    <row r="117" spans="1:6" ht="19.2">
      <c r="A117" s="39"/>
      <c r="B117" s="47"/>
      <c r="C117" s="66" t="s">
        <v>207</v>
      </c>
      <c r="D117" s="52" t="str">
        <f>HYPERLINK("#三角与反三角函数!A400","跳转")</f>
        <v>跳转</v>
      </c>
      <c r="E117" s="49" t="s">
        <v>208</v>
      </c>
      <c r="F117" s="51"/>
    </row>
    <row r="118" spans="1:6" ht="19.2">
      <c r="A118" s="39"/>
      <c r="B118" s="48"/>
      <c r="C118" s="67" t="s">
        <v>209</v>
      </c>
      <c r="D118" s="42" t="str">
        <f>HYPERLINK("#三角与反三角函数!A500","跳转")</f>
        <v>跳转</v>
      </c>
      <c r="E118" s="41" t="s">
        <v>210</v>
      </c>
      <c r="F118" s="43"/>
    </row>
    <row r="119" spans="1:6" ht="19.2">
      <c r="A119" s="39"/>
      <c r="B119" s="47"/>
      <c r="C119" s="66" t="s">
        <v>211</v>
      </c>
      <c r="D119" s="52" t="str">
        <f>HYPERLINK("#三角与反三角函数!A600","跳转")</f>
        <v>跳转</v>
      </c>
      <c r="E119" s="49" t="s">
        <v>212</v>
      </c>
      <c r="F119" s="51"/>
    </row>
    <row r="120" spans="1:6" ht="19.2">
      <c r="A120" s="39"/>
      <c r="B120" s="48" t="s">
        <v>213</v>
      </c>
      <c r="C120" s="41" t="s">
        <v>214</v>
      </c>
      <c r="D120" s="53"/>
      <c r="E120" s="41"/>
      <c r="F120" s="43"/>
    </row>
    <row r="121" spans="1:6" ht="19.2">
      <c r="A121" s="39"/>
      <c r="B121" s="47"/>
      <c r="C121" s="66" t="s">
        <v>215</v>
      </c>
      <c r="D121" s="52" t="str">
        <f>HYPERLINK("#双曲与反双曲函数!A1","跳转")</f>
        <v>跳转</v>
      </c>
      <c r="E121" s="49" t="s">
        <v>216</v>
      </c>
      <c r="F121" s="51"/>
    </row>
    <row r="122" spans="1:6" ht="19.2">
      <c r="A122" s="39"/>
      <c r="B122" s="48"/>
      <c r="C122" s="67" t="s">
        <v>217</v>
      </c>
      <c r="D122" s="42" t="str">
        <f>HYPERLINK("#双曲与反双曲函数!A100","跳转")</f>
        <v>跳转</v>
      </c>
      <c r="E122" s="41" t="s">
        <v>218</v>
      </c>
      <c r="F122" s="43"/>
    </row>
    <row r="123" spans="1:6" ht="19.2">
      <c r="A123" s="39"/>
      <c r="B123" s="47"/>
      <c r="C123" s="66" t="s">
        <v>219</v>
      </c>
      <c r="D123" s="52" t="str">
        <f>HYPERLINK("#双曲与反双曲函数!A200","跳转")</f>
        <v>跳转</v>
      </c>
      <c r="E123" s="49" t="s">
        <v>220</v>
      </c>
      <c r="F123" s="51"/>
    </row>
    <row r="124" spans="1:6" ht="19.2">
      <c r="A124" s="39"/>
      <c r="B124" s="48" t="s">
        <v>221</v>
      </c>
      <c r="C124" s="41" t="s">
        <v>222</v>
      </c>
      <c r="D124" s="53"/>
      <c r="E124" s="41"/>
      <c r="F124" s="43"/>
    </row>
    <row r="125" spans="1:6" ht="19.2">
      <c r="A125" s="39"/>
      <c r="B125" s="47"/>
      <c r="C125" s="66" t="s">
        <v>223</v>
      </c>
      <c r="D125" s="52" t="str">
        <f>HYPERLINK("#双曲与反双曲函数!A300","跳转")</f>
        <v>跳转</v>
      </c>
      <c r="E125" s="49" t="s">
        <v>224</v>
      </c>
      <c r="F125" s="51"/>
    </row>
    <row r="126" spans="1:6" ht="19.2">
      <c r="A126" s="39"/>
      <c r="B126" s="48"/>
      <c r="C126" s="67" t="s">
        <v>225</v>
      </c>
      <c r="D126" s="42" t="str">
        <f>HYPERLINK("#双曲与反双曲函数!A400","跳转")</f>
        <v>跳转</v>
      </c>
      <c r="E126" s="41" t="s">
        <v>226</v>
      </c>
      <c r="F126" s="43"/>
    </row>
    <row r="127" spans="1:6" ht="19.2">
      <c r="A127" s="39"/>
      <c r="B127" s="47"/>
      <c r="C127" s="66" t="s">
        <v>227</v>
      </c>
      <c r="D127" s="52" t="str">
        <f>HYPERLINK("#双曲与反双曲函数!A500","跳转")</f>
        <v>跳转</v>
      </c>
      <c r="E127" s="49" t="s">
        <v>228</v>
      </c>
      <c r="F127" s="51"/>
    </row>
    <row r="128" spans="1:6" ht="20.25" customHeight="1">
      <c r="A128" s="39"/>
      <c r="B128" s="48" t="s">
        <v>229</v>
      </c>
      <c r="C128" s="54" t="s">
        <v>230</v>
      </c>
      <c r="D128" s="55"/>
      <c r="E128" s="55"/>
      <c r="F128" s="43"/>
    </row>
    <row r="129" spans="1:7" ht="19.2">
      <c r="A129" s="39"/>
      <c r="B129" s="47"/>
      <c r="C129" s="66" t="s">
        <v>231</v>
      </c>
      <c r="D129" s="52" t="str">
        <f>HYPERLINK("#计算矩阵!A1","跳转")</f>
        <v>跳转</v>
      </c>
      <c r="E129" s="49" t="s">
        <v>232</v>
      </c>
      <c r="F129" s="51"/>
    </row>
    <row r="130" spans="1:7" ht="19.2">
      <c r="A130" s="39"/>
      <c r="B130" s="48"/>
      <c r="C130" s="67" t="s">
        <v>233</v>
      </c>
      <c r="D130" s="42" t="str">
        <f>HYPERLINK("#计算矩阵!A100","跳转")</f>
        <v>跳转</v>
      </c>
      <c r="E130" s="41" t="s">
        <v>234</v>
      </c>
      <c r="F130" s="43"/>
    </row>
    <row r="131" spans="1:7" ht="19.2">
      <c r="A131" s="39"/>
      <c r="B131" s="34"/>
      <c r="C131" s="66" t="s">
        <v>235</v>
      </c>
      <c r="D131" s="52" t="str">
        <f>HYPERLINK("#计算矩阵!A200","跳转")</f>
        <v>跳转</v>
      </c>
      <c r="E131" s="49" t="s">
        <v>236</v>
      </c>
      <c r="F131" s="51"/>
    </row>
    <row r="132" spans="1:7" ht="19.2">
      <c r="A132" s="39"/>
      <c r="B132" s="48" t="s">
        <v>237</v>
      </c>
      <c r="C132" s="41" t="s">
        <v>238</v>
      </c>
      <c r="D132" s="53"/>
      <c r="E132" s="41"/>
      <c r="F132" s="43"/>
    </row>
    <row r="133" spans="1:7" ht="19.2">
      <c r="A133" s="39"/>
      <c r="B133" s="47"/>
      <c r="C133" s="61" t="s">
        <v>239</v>
      </c>
      <c r="D133" s="52" t="str">
        <f>HYPERLINK("#随机数!A1","跳转")</f>
        <v>跳转</v>
      </c>
      <c r="E133" s="49" t="s">
        <v>240</v>
      </c>
      <c r="F133" s="51"/>
    </row>
    <row r="134" spans="1:7" ht="19.2">
      <c r="A134" s="39"/>
      <c r="B134" s="48"/>
      <c r="C134" s="41" t="s">
        <v>241</v>
      </c>
      <c r="D134" s="42" t="str">
        <f>HYPERLINK("#随机数!A100","跳转")</f>
        <v>跳转</v>
      </c>
      <c r="E134" s="41" t="s">
        <v>242</v>
      </c>
      <c r="F134" s="43"/>
    </row>
    <row r="135" spans="1:7" ht="22.2">
      <c r="A135" s="29" t="str">
        <f>HYPERLINK("#A2","返回顶行")</f>
        <v>返回顶行</v>
      </c>
      <c r="B135" s="440" t="s">
        <v>10</v>
      </c>
      <c r="C135" s="441"/>
      <c r="D135" s="30" t="s">
        <v>243</v>
      </c>
      <c r="E135" s="31"/>
      <c r="F135" s="31"/>
    </row>
    <row r="136" spans="1:7" ht="19.2">
      <c r="A136" s="57"/>
      <c r="B136" s="48" t="s">
        <v>31</v>
      </c>
      <c r="C136" s="41" t="s">
        <v>244</v>
      </c>
      <c r="D136" s="53"/>
      <c r="E136" s="41"/>
      <c r="F136" s="43"/>
    </row>
    <row r="137" spans="1:7" ht="19.2">
      <c r="A137" s="39"/>
      <c r="B137" s="47"/>
      <c r="C137" s="60" t="s">
        <v>245</v>
      </c>
      <c r="D137" s="52" t="str">
        <f>HYPERLINK("#"&amp;C137&amp;"!A1","跳转")</f>
        <v>跳转</v>
      </c>
      <c r="E137" s="49" t="s">
        <v>246</v>
      </c>
      <c r="F137" s="51"/>
    </row>
    <row r="138" spans="1:7" ht="19.2">
      <c r="A138" s="57"/>
      <c r="B138" s="48" t="s">
        <v>39</v>
      </c>
      <c r="C138" s="41" t="s">
        <v>247</v>
      </c>
      <c r="D138" s="53"/>
      <c r="E138" s="41"/>
      <c r="F138" s="43"/>
    </row>
    <row r="139" spans="1:7" ht="19.2">
      <c r="A139" s="39"/>
      <c r="B139" s="47"/>
      <c r="C139" s="60" t="s">
        <v>248</v>
      </c>
      <c r="D139" s="52" t="str">
        <f>HYPERLINK("#判断多个条件!A1","跳转")</f>
        <v>跳转</v>
      </c>
      <c r="E139" s="49" t="s">
        <v>249</v>
      </c>
      <c r="F139" s="51"/>
    </row>
    <row r="140" spans="1:7" ht="19.2">
      <c r="A140" s="39"/>
      <c r="B140" s="48"/>
      <c r="C140" s="41" t="s">
        <v>250</v>
      </c>
      <c r="D140" s="42" t="str">
        <f>HYPERLINK("#判断多个条件!A100","跳转")</f>
        <v>跳转</v>
      </c>
      <c r="E140" s="63" t="s">
        <v>251</v>
      </c>
      <c r="F140" s="43"/>
    </row>
    <row r="141" spans="1:7" ht="19.2">
      <c r="A141" s="57"/>
      <c r="B141" s="47" t="s">
        <v>47</v>
      </c>
      <c r="C141" s="49" t="s">
        <v>252</v>
      </c>
      <c r="D141" s="50"/>
      <c r="E141" s="49"/>
      <c r="F141" s="51"/>
    </row>
    <row r="142" spans="1:7" ht="19.2">
      <c r="A142" s="39"/>
      <c r="B142" s="48"/>
      <c r="C142" s="63" t="s">
        <v>253</v>
      </c>
      <c r="D142" s="42" t="str">
        <f>HYPERLINK("#判断多个条件!A200","跳转")</f>
        <v>跳转</v>
      </c>
      <c r="E142" s="63" t="s">
        <v>254</v>
      </c>
      <c r="F142" s="43"/>
    </row>
    <row r="143" spans="1:7" ht="19.2">
      <c r="A143" s="68"/>
      <c r="B143" s="47" t="s">
        <v>51</v>
      </c>
      <c r="C143" s="49" t="s">
        <v>255</v>
      </c>
      <c r="D143" s="50"/>
      <c r="E143" s="49"/>
      <c r="F143" s="51"/>
    </row>
    <row r="144" spans="1:7" ht="19.2">
      <c r="A144" s="68"/>
      <c r="B144" s="48"/>
      <c r="C144" s="67" t="b">
        <v>1</v>
      </c>
      <c r="D144" s="42" t="str">
        <f>HYPERLINK("#表示逻辑值!A1","跳转")</f>
        <v>跳转</v>
      </c>
      <c r="E144" s="41" t="s">
        <v>256</v>
      </c>
      <c r="F144" s="43"/>
      <c r="G144" s="69"/>
    </row>
    <row r="145" spans="1:7" ht="19.2">
      <c r="A145" s="68"/>
      <c r="B145" s="70"/>
      <c r="C145" s="71" t="b">
        <v>0</v>
      </c>
      <c r="D145" s="52" t="str">
        <f>HYPERLINK("#表示逻辑值!A100","跳转")</f>
        <v>跳转</v>
      </c>
      <c r="E145" s="66" t="s">
        <v>257</v>
      </c>
      <c r="F145" s="51"/>
      <c r="G145" s="69"/>
    </row>
    <row r="146" spans="1:7" ht="22.2">
      <c r="A146" s="72" t="str">
        <f>HYPERLINK("#A2","返回顶行")</f>
        <v>返回顶行</v>
      </c>
      <c r="B146" s="444" t="s">
        <v>12</v>
      </c>
      <c r="C146" s="445"/>
      <c r="D146" s="73" t="s">
        <v>258</v>
      </c>
      <c r="E146" s="32"/>
      <c r="F146" s="32"/>
    </row>
    <row r="147" spans="1:7" ht="19.2">
      <c r="A147" s="39"/>
      <c r="B147" s="74" t="s">
        <v>31</v>
      </c>
      <c r="C147" s="75" t="s">
        <v>259</v>
      </c>
      <c r="D147" s="50"/>
      <c r="E147" s="49"/>
      <c r="F147" s="51"/>
    </row>
    <row r="148" spans="1:7" ht="19.2">
      <c r="A148" s="39"/>
      <c r="B148" s="48"/>
      <c r="C148" s="41" t="s">
        <v>260</v>
      </c>
      <c r="D148" s="42" t="str">
        <f>HYPERLINK("#"&amp;C148&amp;"!A1","跳转")</f>
        <v>跳转</v>
      </c>
      <c r="E148" s="41" t="s">
        <v>261</v>
      </c>
      <c r="F148" s="43"/>
    </row>
    <row r="149" spans="1:7" ht="19.2">
      <c r="A149" s="39"/>
      <c r="B149" s="47"/>
      <c r="C149" s="49" t="s">
        <v>262</v>
      </c>
      <c r="D149" s="52" t="str">
        <f>HYPERLINK("#"&amp;C149&amp;"!A1","跳转")</f>
        <v>跳转</v>
      </c>
      <c r="E149" s="49" t="s">
        <v>263</v>
      </c>
      <c r="F149" s="51"/>
    </row>
    <row r="150" spans="1:7" ht="19.2">
      <c r="A150" s="39"/>
      <c r="B150" s="48"/>
      <c r="C150" s="41" t="s">
        <v>264</v>
      </c>
      <c r="D150" s="42" t="str">
        <f>HYPERLINK("#"&amp;C150&amp;"!A1","跳转")</f>
        <v>跳转</v>
      </c>
      <c r="E150" s="41" t="s">
        <v>265</v>
      </c>
      <c r="F150" s="43"/>
    </row>
    <row r="151" spans="1:7" ht="19.2">
      <c r="A151" s="39"/>
      <c r="B151" s="47"/>
      <c r="C151" s="49" t="s">
        <v>264</v>
      </c>
      <c r="D151" s="52" t="str">
        <f>HYPERLINK("#"&amp;C151&amp;"!A1","跳转")</f>
        <v>跳转</v>
      </c>
      <c r="E151" s="49" t="s">
        <v>266</v>
      </c>
      <c r="F151" s="51"/>
    </row>
    <row r="152" spans="1:7" ht="19.2">
      <c r="A152" s="39"/>
      <c r="B152" s="48" t="s">
        <v>39</v>
      </c>
      <c r="C152" s="41" t="s">
        <v>267</v>
      </c>
      <c r="D152" s="53"/>
      <c r="E152" s="41"/>
      <c r="F152" s="43"/>
    </row>
    <row r="153" spans="1:7" ht="19.2">
      <c r="A153" s="39"/>
      <c r="B153" s="47"/>
      <c r="C153" s="49" t="s">
        <v>268</v>
      </c>
      <c r="D153" s="52" t="str">
        <f>HYPERLINK("#MATCH!A1","跳转")</f>
        <v>跳转</v>
      </c>
      <c r="E153" s="49" t="s">
        <v>269</v>
      </c>
      <c r="F153" s="51"/>
    </row>
    <row r="154" spans="1:7" ht="19.2">
      <c r="A154" s="39"/>
      <c r="B154" s="48"/>
      <c r="C154" s="41" t="s">
        <v>270</v>
      </c>
      <c r="D154" s="42" t="str">
        <f>HYPERLINK("#OFFSET!A1","跳转")</f>
        <v>跳转</v>
      </c>
      <c r="E154" s="67" t="s">
        <v>271</v>
      </c>
      <c r="F154" s="43"/>
    </row>
    <row r="155" spans="1:7" ht="19.2">
      <c r="A155" s="39"/>
      <c r="B155" s="47"/>
      <c r="C155" s="49" t="s">
        <v>272</v>
      </c>
      <c r="D155" s="52" t="str">
        <f>HYPERLINK("#INDEX!A1","跳转")</f>
        <v>跳转</v>
      </c>
      <c r="E155" s="49" t="s">
        <v>273</v>
      </c>
      <c r="F155" s="51"/>
    </row>
    <row r="156" spans="1:7" ht="19.2">
      <c r="A156" s="39"/>
      <c r="B156" s="48"/>
      <c r="C156" s="41" t="s">
        <v>272</v>
      </c>
      <c r="D156" s="42" t="str">
        <f>HYPERLINK("#INDEX!A100","跳转")</f>
        <v>跳转</v>
      </c>
      <c r="E156" s="41" t="s">
        <v>274</v>
      </c>
      <c r="F156" s="43"/>
    </row>
    <row r="157" spans="1:7" ht="19.2">
      <c r="A157" s="39"/>
      <c r="B157" s="47" t="s">
        <v>47</v>
      </c>
      <c r="C157" s="49" t="s">
        <v>275</v>
      </c>
      <c r="D157" s="50"/>
      <c r="E157" s="49"/>
      <c r="F157" s="51"/>
    </row>
    <row r="158" spans="1:7" ht="19.2">
      <c r="A158" s="39"/>
      <c r="B158" s="48"/>
      <c r="C158" s="41" t="s">
        <v>276</v>
      </c>
      <c r="D158" s="42" t="str">
        <f>HYPERLINK("#INDIRECT与CHOOSE!A1","跳转")</f>
        <v>跳转</v>
      </c>
      <c r="E158" s="41" t="s">
        <v>277</v>
      </c>
      <c r="F158" s="43"/>
    </row>
    <row r="159" spans="1:7" ht="20.25" customHeight="1">
      <c r="A159" s="39"/>
      <c r="B159" s="47" t="s">
        <v>51</v>
      </c>
      <c r="C159" s="49" t="s">
        <v>278</v>
      </c>
      <c r="D159" s="50"/>
      <c r="E159" s="49"/>
      <c r="F159" s="51"/>
    </row>
    <row r="160" spans="1:7" ht="20.25" customHeight="1">
      <c r="A160" s="39"/>
      <c r="B160" s="48"/>
      <c r="C160" s="41" t="s">
        <v>279</v>
      </c>
      <c r="D160" s="42" t="str">
        <f>HYPERLINK("#INDIRECT与CHOOSE!A100","跳转")</f>
        <v>跳转</v>
      </c>
      <c r="E160" s="41" t="s">
        <v>280</v>
      </c>
      <c r="F160" s="43"/>
    </row>
    <row r="161" spans="1:6" ht="20.25" customHeight="1">
      <c r="A161" s="39"/>
      <c r="B161" s="47" t="s">
        <v>55</v>
      </c>
      <c r="C161" s="49" t="s">
        <v>281</v>
      </c>
      <c r="D161" s="49"/>
      <c r="E161" s="49"/>
      <c r="F161" s="51"/>
    </row>
    <row r="162" spans="1:6" ht="19.2">
      <c r="A162" s="39"/>
      <c r="B162" s="48"/>
      <c r="C162" s="41" t="s">
        <v>282</v>
      </c>
      <c r="D162" s="42" t="str">
        <f>HYPERLINK("#单元格引用或单元格位置!A200","跳转")</f>
        <v>跳转</v>
      </c>
      <c r="E162" s="41" t="s">
        <v>283</v>
      </c>
      <c r="F162" s="43"/>
    </row>
    <row r="163" spans="1:6" ht="19.2">
      <c r="A163" s="39"/>
      <c r="B163" s="47"/>
      <c r="C163" s="49" t="s">
        <v>284</v>
      </c>
      <c r="D163" s="52" t="str">
        <f>HYPERLINK("#单元格引用或单元格位置!A1","跳转")</f>
        <v>跳转</v>
      </c>
      <c r="E163" s="49" t="s">
        <v>285</v>
      </c>
      <c r="F163" s="51"/>
    </row>
    <row r="164" spans="1:6" ht="19.2">
      <c r="A164" s="39"/>
      <c r="B164" s="48"/>
      <c r="C164" s="41" t="s">
        <v>286</v>
      </c>
      <c r="D164" s="42" t="str">
        <f>HYPERLINK("#单元格引用或单元格位置!A100","跳转")</f>
        <v>跳转</v>
      </c>
      <c r="E164" s="41" t="s">
        <v>287</v>
      </c>
      <c r="F164" s="43"/>
    </row>
    <row r="165" spans="1:6" ht="19.2">
      <c r="A165" s="39"/>
      <c r="B165" s="47" t="s">
        <v>61</v>
      </c>
      <c r="C165" s="49" t="s">
        <v>288</v>
      </c>
      <c r="D165" s="50"/>
      <c r="E165" s="49"/>
      <c r="F165" s="51"/>
    </row>
    <row r="166" spans="1:6" ht="19.2">
      <c r="A166" s="76"/>
      <c r="B166" s="48"/>
      <c r="C166" s="41" t="s">
        <v>289</v>
      </c>
      <c r="D166" s="42" t="str">
        <f>HYPERLINK("#计算区域内的要素!A1","跳转")</f>
        <v>跳转</v>
      </c>
      <c r="E166" s="41" t="s">
        <v>290</v>
      </c>
      <c r="F166" s="43"/>
    </row>
    <row r="167" spans="1:6" ht="19.2">
      <c r="A167" s="39"/>
      <c r="B167" s="47"/>
      <c r="C167" s="49" t="s">
        <v>291</v>
      </c>
      <c r="D167" s="52" t="str">
        <f>HYPERLINK("#计算区域内的要素!A100","跳转")</f>
        <v>跳转</v>
      </c>
      <c r="E167" s="49" t="s">
        <v>292</v>
      </c>
      <c r="F167" s="51"/>
    </row>
    <row r="168" spans="1:6" ht="19.2">
      <c r="A168" s="39"/>
      <c r="B168" s="48"/>
      <c r="C168" s="41" t="s">
        <v>293</v>
      </c>
      <c r="D168" s="42" t="str">
        <f>HYPERLINK("#计算区域内的要素!A200","跳转")</f>
        <v>跳转</v>
      </c>
      <c r="E168" s="41" t="s">
        <v>294</v>
      </c>
      <c r="F168" s="43"/>
    </row>
    <row r="169" spans="1:6" ht="19.2">
      <c r="A169" s="39"/>
      <c r="B169" s="47" t="s">
        <v>67</v>
      </c>
      <c r="C169" s="49" t="s">
        <v>295</v>
      </c>
      <c r="D169" s="50"/>
      <c r="E169" s="49"/>
      <c r="F169" s="51"/>
    </row>
    <row r="170" spans="1:6" ht="19.2">
      <c r="A170" s="39"/>
      <c r="B170" s="48"/>
      <c r="C170" s="41" t="s">
        <v>296</v>
      </c>
      <c r="D170" s="42" t="str">
        <f>HYPERLINK("#"&amp;C170&amp;"!A1","跳转")</f>
        <v>跳转</v>
      </c>
      <c r="E170" s="41" t="s">
        <v>297</v>
      </c>
      <c r="F170" s="43"/>
    </row>
    <row r="171" spans="1:6" ht="19.2">
      <c r="A171" s="39"/>
      <c r="B171" s="47" t="s">
        <v>73</v>
      </c>
      <c r="C171" s="49" t="s">
        <v>298</v>
      </c>
      <c r="D171" s="50"/>
      <c r="E171" s="49"/>
      <c r="F171" s="51"/>
    </row>
    <row r="172" spans="1:6" ht="19.2">
      <c r="A172" s="39"/>
      <c r="B172" s="48"/>
      <c r="C172" s="41" t="s">
        <v>299</v>
      </c>
      <c r="D172" s="42" t="str">
        <f>HYPERLINK("#"&amp;C172&amp;"!A1","跳转")</f>
        <v>跳转</v>
      </c>
      <c r="E172" s="41" t="s">
        <v>298</v>
      </c>
      <c r="F172" s="43"/>
    </row>
    <row r="173" spans="1:6" ht="19.2">
      <c r="A173" s="39"/>
      <c r="B173" s="47" t="s">
        <v>151</v>
      </c>
      <c r="C173" s="49" t="s">
        <v>300</v>
      </c>
      <c r="D173" s="50"/>
      <c r="E173" s="49"/>
      <c r="F173" s="51"/>
    </row>
    <row r="174" spans="1:6" ht="19.2">
      <c r="A174" s="39"/>
      <c r="B174" s="48"/>
      <c r="C174" s="41" t="s">
        <v>301</v>
      </c>
      <c r="D174" s="42" t="str">
        <f>HYPERLINK("#"&amp;C174&amp;"!A1","跳转")</f>
        <v>跳转</v>
      </c>
      <c r="E174" s="41" t="s">
        <v>302</v>
      </c>
      <c r="F174" s="43"/>
    </row>
    <row r="175" spans="1:6" ht="22.2">
      <c r="A175" s="29" t="str">
        <f>HYPERLINK("#A2","返回顶行")</f>
        <v>返回顶行</v>
      </c>
      <c r="B175" s="440" t="s">
        <v>16</v>
      </c>
      <c r="C175" s="441"/>
      <c r="D175" s="30" t="s">
        <v>303</v>
      </c>
      <c r="E175" s="77"/>
      <c r="F175" s="31"/>
    </row>
    <row r="176" spans="1:6" ht="22.2">
      <c r="A176" s="78"/>
      <c r="B176" s="48" t="s">
        <v>31</v>
      </c>
      <c r="C176" s="41" t="s">
        <v>304</v>
      </c>
      <c r="D176" s="53"/>
      <c r="E176" s="79"/>
      <c r="F176" s="43"/>
    </row>
    <row r="177" spans="1:6" ht="19.2">
      <c r="A177" s="78"/>
      <c r="B177" s="47"/>
      <c r="C177" s="49" t="s">
        <v>305</v>
      </c>
      <c r="D177" s="52" t="str">
        <f>HYPERLINK("#全角半角字符转换!A1","跳转")</f>
        <v>跳转</v>
      </c>
      <c r="E177" s="66" t="s">
        <v>3029</v>
      </c>
      <c r="F177" s="51"/>
    </row>
    <row r="178" spans="1:6" ht="19.2">
      <c r="A178" s="78"/>
      <c r="B178" s="48"/>
      <c r="C178" s="41" t="s">
        <v>306</v>
      </c>
      <c r="D178" s="42" t="str">
        <f>HYPERLINK("#全角半角字符转换!A100","跳转")</f>
        <v>跳转</v>
      </c>
      <c r="E178" s="67" t="s">
        <v>307</v>
      </c>
      <c r="F178" s="43"/>
    </row>
    <row r="179" spans="1:6" ht="19.2">
      <c r="A179" s="78"/>
      <c r="B179" s="47" t="s">
        <v>39</v>
      </c>
      <c r="C179" s="49" t="s">
        <v>308</v>
      </c>
      <c r="D179" s="50"/>
      <c r="E179" s="66"/>
      <c r="F179" s="51"/>
    </row>
    <row r="180" spans="1:6" ht="19.2">
      <c r="A180" s="78"/>
      <c r="B180" s="48"/>
      <c r="C180" s="41" t="s">
        <v>309</v>
      </c>
      <c r="D180" s="42" t="str">
        <f>HYPERLINK("#大小写字母转换!A1","跳转")</f>
        <v>跳转</v>
      </c>
      <c r="E180" s="67" t="s">
        <v>310</v>
      </c>
      <c r="F180" s="43"/>
    </row>
    <row r="181" spans="1:6" ht="19.2">
      <c r="A181" s="78"/>
      <c r="B181" s="47"/>
      <c r="C181" s="49" t="s">
        <v>311</v>
      </c>
      <c r="D181" s="52" t="str">
        <f>HYPERLINK("#大小写字母转换!A100","跳转")</f>
        <v>跳转</v>
      </c>
      <c r="E181" s="66" t="s">
        <v>312</v>
      </c>
      <c r="F181" s="51"/>
    </row>
    <row r="182" spans="1:6" ht="19.2">
      <c r="A182" s="78"/>
      <c r="B182" s="48"/>
      <c r="C182" s="41" t="s">
        <v>313</v>
      </c>
      <c r="D182" s="42" t="str">
        <f>HYPERLINK("#大小写字母转换!A200","跳转")</f>
        <v>跳转</v>
      </c>
      <c r="E182" s="67" t="s">
        <v>314</v>
      </c>
      <c r="F182" s="43"/>
    </row>
    <row r="183" spans="1:6" ht="19.2">
      <c r="A183" s="78"/>
      <c r="B183" s="47" t="s">
        <v>47</v>
      </c>
      <c r="C183" s="49" t="s">
        <v>315</v>
      </c>
      <c r="D183" s="50"/>
      <c r="E183" s="66"/>
      <c r="F183" s="51"/>
    </row>
    <row r="184" spans="1:6" ht="19.2">
      <c r="A184" s="78"/>
      <c r="B184" s="48"/>
      <c r="C184" s="41" t="s">
        <v>316</v>
      </c>
      <c r="D184" s="42" t="str">
        <f>HYPERLINK("#文本转换计算合并!A1","跳转")</f>
        <v>跳转</v>
      </c>
      <c r="E184" s="67" t="s">
        <v>317</v>
      </c>
      <c r="F184" s="43"/>
    </row>
    <row r="185" spans="1:6" ht="19.2">
      <c r="A185" s="78"/>
      <c r="B185" s="47" t="s">
        <v>51</v>
      </c>
      <c r="C185" s="49" t="s">
        <v>318</v>
      </c>
      <c r="D185" s="50"/>
      <c r="E185" s="66"/>
      <c r="F185" s="51"/>
    </row>
    <row r="186" spans="1:6" ht="19.2">
      <c r="A186" s="78"/>
      <c r="B186" s="48"/>
      <c r="C186" s="41" t="s">
        <v>319</v>
      </c>
      <c r="D186" s="42" t="str">
        <f>HYPERLINK("#文本转换计算合并!A100","跳转")</f>
        <v>跳转</v>
      </c>
      <c r="E186" s="67" t="s">
        <v>3093</v>
      </c>
      <c r="F186" s="43"/>
    </row>
    <row r="187" spans="1:6" ht="19.2">
      <c r="A187" s="78"/>
      <c r="B187" s="47"/>
      <c r="C187" s="49" t="s">
        <v>320</v>
      </c>
      <c r="D187" s="52" t="str">
        <f>HYPERLINK("#文本转换计算合并!A200","跳转")</f>
        <v>跳转</v>
      </c>
      <c r="E187" s="66" t="s">
        <v>321</v>
      </c>
      <c r="F187" s="51"/>
    </row>
    <row r="188" spans="1:6" ht="19.2">
      <c r="A188" s="78"/>
      <c r="B188" s="48" t="s">
        <v>55</v>
      </c>
      <c r="C188" s="41" t="s">
        <v>322</v>
      </c>
      <c r="D188" s="53"/>
      <c r="E188" s="67"/>
      <c r="F188" s="43"/>
    </row>
    <row r="189" spans="1:6" ht="19.2">
      <c r="A189" s="78"/>
      <c r="B189" s="47"/>
      <c r="C189" s="49" t="s">
        <v>323</v>
      </c>
      <c r="D189" s="52" t="str">
        <f>HYPERLINK("#文本转换计算合并!A300","跳转")</f>
        <v>跳转</v>
      </c>
      <c r="E189" s="66" t="s">
        <v>324</v>
      </c>
      <c r="F189" s="51"/>
    </row>
    <row r="190" spans="1:6" ht="19.2">
      <c r="A190" s="78"/>
      <c r="B190" s="48" t="s">
        <v>61</v>
      </c>
      <c r="C190" s="41" t="s">
        <v>325</v>
      </c>
      <c r="D190" s="53"/>
      <c r="E190" s="67"/>
      <c r="F190" s="43"/>
    </row>
    <row r="191" spans="1:6" ht="19.2">
      <c r="A191" s="78"/>
      <c r="B191" s="47"/>
      <c r="C191" s="49" t="s">
        <v>326</v>
      </c>
      <c r="D191" s="52" t="str">
        <f>HYPERLINK("#提取文本的一部分!A1","跳转")</f>
        <v>跳转</v>
      </c>
      <c r="E191" s="66" t="s">
        <v>327</v>
      </c>
      <c r="F191" s="51"/>
    </row>
    <row r="192" spans="1:6" ht="19.2">
      <c r="A192" s="78"/>
      <c r="B192" s="48"/>
      <c r="C192" s="41" t="s">
        <v>328</v>
      </c>
      <c r="D192" s="42" t="str">
        <f>HYPERLINK("#提取文本的一部分!A100","跳转")</f>
        <v>跳转</v>
      </c>
      <c r="E192" s="67" t="s">
        <v>329</v>
      </c>
      <c r="F192" s="43"/>
    </row>
    <row r="193" spans="1:6" ht="19.2">
      <c r="A193" s="78"/>
      <c r="B193" s="47"/>
      <c r="C193" s="49" t="s">
        <v>330</v>
      </c>
      <c r="D193" s="52" t="str">
        <f>HYPERLINK("#提取文本的一部分!A200","跳转")</f>
        <v>跳转</v>
      </c>
      <c r="E193" s="66" t="s">
        <v>331</v>
      </c>
      <c r="F193" s="51"/>
    </row>
    <row r="194" spans="1:6" ht="19.2">
      <c r="A194" s="78"/>
      <c r="B194" s="48"/>
      <c r="C194" s="41" t="s">
        <v>332</v>
      </c>
      <c r="D194" s="42" t="str">
        <f>HYPERLINK("#提取文本的一部分!A300","跳转")</f>
        <v>跳转</v>
      </c>
      <c r="E194" s="67" t="s">
        <v>329</v>
      </c>
      <c r="F194" s="43"/>
    </row>
    <row r="195" spans="1:6" ht="19.2">
      <c r="A195" s="78"/>
      <c r="B195" s="47"/>
      <c r="C195" s="49" t="s">
        <v>333</v>
      </c>
      <c r="D195" s="52" t="str">
        <f>HYPERLINK("#提取文本的一部分!A400","跳转")</f>
        <v>跳转</v>
      </c>
      <c r="E195" s="66" t="s">
        <v>334</v>
      </c>
      <c r="F195" s="51"/>
    </row>
    <row r="196" spans="1:6" ht="19.2">
      <c r="A196" s="78"/>
      <c r="B196" s="48"/>
      <c r="C196" s="41" t="s">
        <v>335</v>
      </c>
      <c r="D196" s="42" t="str">
        <f>HYPERLINK("#提取文本的一部分!A500","跳转")</f>
        <v>跳转</v>
      </c>
      <c r="E196" s="67" t="s">
        <v>336</v>
      </c>
      <c r="F196" s="43"/>
    </row>
    <row r="197" spans="1:6" ht="19.2">
      <c r="A197" s="78"/>
      <c r="B197" s="47" t="s">
        <v>67</v>
      </c>
      <c r="C197" s="49" t="s">
        <v>337</v>
      </c>
      <c r="D197" s="50"/>
      <c r="E197" s="66"/>
      <c r="F197" s="51"/>
    </row>
    <row r="198" spans="1:6" ht="19.2">
      <c r="A198" s="78"/>
      <c r="B198" s="48"/>
      <c r="C198" s="41" t="s">
        <v>338</v>
      </c>
      <c r="D198" s="42" t="str">
        <f>HYPERLINK("#检索文本!A1","跳转")</f>
        <v>跳转</v>
      </c>
      <c r="E198" s="67" t="s">
        <v>3186</v>
      </c>
      <c r="F198" s="43"/>
    </row>
    <row r="199" spans="1:6" ht="19.2">
      <c r="A199" s="78"/>
      <c r="B199" s="47"/>
      <c r="C199" s="49" t="s">
        <v>339</v>
      </c>
      <c r="D199" s="52" t="str">
        <f>HYPERLINK("#检索文本!A100","跳转")</f>
        <v>跳转</v>
      </c>
      <c r="E199" s="66" t="s">
        <v>340</v>
      </c>
      <c r="F199" s="51"/>
    </row>
    <row r="200" spans="1:6" ht="19.2">
      <c r="A200" s="78"/>
      <c r="B200" s="48"/>
      <c r="C200" s="41" t="s">
        <v>341</v>
      </c>
      <c r="D200" s="42" t="str">
        <f>HYPERLINK("#检索文本!A200","跳转")</f>
        <v>跳转</v>
      </c>
      <c r="E200" s="67" t="s">
        <v>342</v>
      </c>
      <c r="F200" s="43"/>
    </row>
    <row r="201" spans="1:6" ht="19.2">
      <c r="A201" s="78"/>
      <c r="B201" s="47"/>
      <c r="C201" s="49" t="s">
        <v>343</v>
      </c>
      <c r="D201" s="52" t="str">
        <f>HYPERLINK("#检索文本!A300","跳转")</f>
        <v>跳转</v>
      </c>
      <c r="E201" s="66" t="s">
        <v>344</v>
      </c>
      <c r="F201" s="51"/>
    </row>
    <row r="202" spans="1:6" ht="19.2">
      <c r="A202" s="78"/>
      <c r="B202" s="48" t="s">
        <v>73</v>
      </c>
      <c r="C202" s="41" t="s">
        <v>345</v>
      </c>
      <c r="D202" s="53"/>
      <c r="E202" s="67"/>
      <c r="F202" s="43"/>
    </row>
    <row r="203" spans="1:6" ht="19.2">
      <c r="A203" s="78"/>
      <c r="B203" s="47"/>
      <c r="C203" s="49" t="s">
        <v>346</v>
      </c>
      <c r="D203" s="52" t="str">
        <f>HYPERLINK("#替换文本!A1","跳转")</f>
        <v>跳转</v>
      </c>
      <c r="E203" s="66" t="s">
        <v>347</v>
      </c>
      <c r="F203" s="51"/>
    </row>
    <row r="204" spans="1:6" ht="19.2">
      <c r="A204" s="78"/>
      <c r="B204" s="48"/>
      <c r="C204" s="41" t="s">
        <v>348</v>
      </c>
      <c r="D204" s="42" t="str">
        <f>HYPERLINK("#替换文本!A100","跳转")</f>
        <v>跳转</v>
      </c>
      <c r="E204" s="67" t="s">
        <v>349</v>
      </c>
      <c r="F204" s="43"/>
    </row>
    <row r="205" spans="1:6" ht="19.2">
      <c r="A205" s="78"/>
      <c r="B205" s="47"/>
      <c r="C205" s="49" t="s">
        <v>350</v>
      </c>
      <c r="D205" s="52" t="str">
        <f>HYPERLINK("#替换文本!A200","跳转")</f>
        <v>跳转</v>
      </c>
      <c r="E205" s="66" t="s">
        <v>351</v>
      </c>
      <c r="F205" s="51"/>
    </row>
    <row r="206" spans="1:6" ht="19.2">
      <c r="A206" s="78"/>
      <c r="B206" s="48" t="s">
        <v>151</v>
      </c>
      <c r="C206" s="41" t="s">
        <v>352</v>
      </c>
      <c r="D206" s="53"/>
      <c r="E206" s="67"/>
      <c r="F206" s="43"/>
    </row>
    <row r="207" spans="1:6" ht="19.2">
      <c r="A207" s="78"/>
      <c r="B207" s="47"/>
      <c r="C207" s="49" t="s">
        <v>353</v>
      </c>
      <c r="D207" s="52" t="str">
        <f>HYPERLINK("#删除多余的字符!A1","跳转")</f>
        <v>跳转</v>
      </c>
      <c r="E207" s="66" t="s">
        <v>354</v>
      </c>
      <c r="F207" s="51"/>
    </row>
    <row r="208" spans="1:6" ht="19.2">
      <c r="A208" s="78"/>
      <c r="B208" s="48"/>
      <c r="C208" s="41" t="s">
        <v>355</v>
      </c>
      <c r="D208" s="42" t="str">
        <f>HYPERLINK("#删除多余的字符!A100","跳转")</f>
        <v>跳转</v>
      </c>
      <c r="E208" s="67" t="s">
        <v>356</v>
      </c>
      <c r="F208" s="43"/>
    </row>
    <row r="209" spans="1:6" ht="19.2">
      <c r="A209" s="78"/>
      <c r="B209" s="47" t="s">
        <v>163</v>
      </c>
      <c r="C209" s="49" t="s">
        <v>357</v>
      </c>
      <c r="D209" s="50"/>
      <c r="E209" s="66"/>
      <c r="F209" s="51"/>
    </row>
    <row r="210" spans="1:6" ht="19.2">
      <c r="A210" s="78"/>
      <c r="B210" s="48"/>
      <c r="C210" s="41" t="s">
        <v>358</v>
      </c>
      <c r="D210" s="42" t="str">
        <f>HYPERLINK("#操作文字代码!A1","跳转")</f>
        <v>跳转</v>
      </c>
      <c r="E210" s="67" t="s">
        <v>359</v>
      </c>
      <c r="F210" s="43"/>
    </row>
    <row r="211" spans="1:6" ht="19.2">
      <c r="A211" s="78"/>
      <c r="B211" s="47"/>
      <c r="C211" s="49" t="s">
        <v>360</v>
      </c>
      <c r="D211" s="52" t="str">
        <f>HYPERLINK("#操作文字代码!A100","跳转")</f>
        <v>跳转</v>
      </c>
      <c r="E211" s="66" t="s">
        <v>361</v>
      </c>
      <c r="F211" s="51"/>
    </row>
    <row r="212" spans="1:6" ht="19.2">
      <c r="A212" s="78"/>
      <c r="B212" s="48" t="s">
        <v>166</v>
      </c>
      <c r="C212" s="41" t="s">
        <v>362</v>
      </c>
      <c r="D212" s="53"/>
      <c r="E212" s="67"/>
      <c r="F212" s="43"/>
    </row>
    <row r="213" spans="1:6" ht="19.2">
      <c r="A213" s="78"/>
      <c r="B213" s="47"/>
      <c r="C213" s="49" t="s">
        <v>363</v>
      </c>
      <c r="D213" s="52" t="str">
        <f>HYPERLINK("#数值转换成格式!A1","跳转")</f>
        <v>跳转</v>
      </c>
      <c r="E213" s="66" t="s">
        <v>364</v>
      </c>
      <c r="F213" s="51"/>
    </row>
    <row r="214" spans="1:6" ht="19.2">
      <c r="A214" s="78"/>
      <c r="B214" s="48"/>
      <c r="C214" s="41" t="s">
        <v>365</v>
      </c>
      <c r="D214" s="42" t="str">
        <f>HYPERLINK("#数值转换成格式!A100","跳转")</f>
        <v>跳转</v>
      </c>
      <c r="E214" s="67" t="s">
        <v>366</v>
      </c>
      <c r="F214" s="43"/>
    </row>
    <row r="215" spans="1:6" ht="19.2">
      <c r="A215" s="78"/>
      <c r="B215" s="47"/>
      <c r="C215" s="49" t="s">
        <v>367</v>
      </c>
      <c r="D215" s="52" t="str">
        <f>HYPERLINK("#数值转换成格式!A200","跳转")</f>
        <v>跳转</v>
      </c>
      <c r="E215" s="66" t="s">
        <v>368</v>
      </c>
      <c r="F215" s="51"/>
    </row>
    <row r="216" spans="1:6" ht="19.2">
      <c r="A216" s="78"/>
      <c r="B216" s="48"/>
      <c r="C216" s="41" t="s">
        <v>369</v>
      </c>
      <c r="D216" s="42" t="str">
        <f>HYPERLINK("#数值转换成格式!A300","跳转")</f>
        <v>跳转</v>
      </c>
      <c r="E216" s="67" t="s">
        <v>370</v>
      </c>
      <c r="F216" s="43"/>
    </row>
    <row r="217" spans="1:6" ht="19.2">
      <c r="A217" s="78"/>
      <c r="B217" s="47"/>
      <c r="C217" s="49" t="s">
        <v>371</v>
      </c>
      <c r="D217" s="52" t="str">
        <f>HYPERLINK("#TEXT!A1","跳转")</f>
        <v>跳转</v>
      </c>
      <c r="E217" s="66" t="s">
        <v>372</v>
      </c>
      <c r="F217" s="51"/>
    </row>
    <row r="218" spans="1:6" ht="19.2">
      <c r="A218" s="78"/>
      <c r="B218" s="48" t="s">
        <v>171</v>
      </c>
      <c r="C218" s="41" t="s">
        <v>373</v>
      </c>
      <c r="D218" s="42"/>
      <c r="E218" s="67"/>
      <c r="F218" s="43"/>
    </row>
    <row r="219" spans="1:6" ht="19.2">
      <c r="A219" s="78"/>
      <c r="B219" s="47"/>
      <c r="C219" s="49" t="s">
        <v>374</v>
      </c>
      <c r="D219" s="52" t="str">
        <f>HYPERLINK("#数值转换成格式!A400","跳转")</f>
        <v>跳转</v>
      </c>
      <c r="E219" s="66" t="s">
        <v>375</v>
      </c>
      <c r="F219" s="51"/>
    </row>
    <row r="220" spans="1:6" ht="19.2">
      <c r="A220" s="78"/>
      <c r="B220" s="48" t="s">
        <v>177</v>
      </c>
      <c r="C220" s="41" t="s">
        <v>376</v>
      </c>
      <c r="D220" s="53"/>
      <c r="E220" s="67"/>
      <c r="F220" s="43"/>
    </row>
    <row r="221" spans="1:6" ht="19.2">
      <c r="A221" s="78"/>
      <c r="B221" s="47"/>
      <c r="C221" s="49" t="s">
        <v>377</v>
      </c>
      <c r="D221" s="52" t="str">
        <f>HYPERLINK("#检查重复返回文本!A1","跳转")</f>
        <v>跳转</v>
      </c>
      <c r="E221" s="66" t="s">
        <v>378</v>
      </c>
      <c r="F221" s="51"/>
    </row>
    <row r="222" spans="1:6" ht="19.2">
      <c r="A222" s="78"/>
      <c r="B222" s="48" t="s">
        <v>185</v>
      </c>
      <c r="C222" s="41" t="s">
        <v>379</v>
      </c>
      <c r="D222" s="53"/>
      <c r="E222" s="67" t="s">
        <v>380</v>
      </c>
      <c r="F222" s="43"/>
    </row>
    <row r="223" spans="1:6" ht="19.2">
      <c r="A223" s="78"/>
      <c r="B223" s="47"/>
      <c r="C223" s="49" t="s">
        <v>381</v>
      </c>
      <c r="D223" s="52" t="str">
        <f>HYPERLINK("#检查重复返回文本!A100","跳转")</f>
        <v>跳转</v>
      </c>
      <c r="E223" s="66" t="s">
        <v>382</v>
      </c>
      <c r="F223" s="51"/>
    </row>
    <row r="224" spans="1:6" ht="19.2">
      <c r="A224" s="78"/>
      <c r="B224" s="48" t="s">
        <v>189</v>
      </c>
      <c r="C224" s="41" t="s">
        <v>383</v>
      </c>
      <c r="D224" s="42"/>
      <c r="E224" s="67"/>
      <c r="F224" s="43"/>
    </row>
    <row r="225" spans="1:6" ht="19.2">
      <c r="A225" s="78"/>
      <c r="B225" s="47"/>
      <c r="C225" s="61" t="s">
        <v>384</v>
      </c>
      <c r="D225" s="52" t="str">
        <f>HYPERLINK("#检查重复返回文本!A200","跳转")</f>
        <v>跳转</v>
      </c>
      <c r="E225" s="66" t="s">
        <v>385</v>
      </c>
      <c r="F225" s="51"/>
    </row>
    <row r="226" spans="1:6" ht="19.2">
      <c r="A226" s="78"/>
      <c r="B226" s="48" t="s">
        <v>195</v>
      </c>
      <c r="C226" s="63" t="s">
        <v>386</v>
      </c>
      <c r="D226" s="80"/>
      <c r="E226" s="67"/>
      <c r="F226" s="43"/>
    </row>
    <row r="227" spans="1:6" ht="19.2">
      <c r="A227" s="78"/>
      <c r="B227" s="47"/>
      <c r="C227" s="61" t="s">
        <v>387</v>
      </c>
      <c r="D227" s="52" t="str">
        <f>HYPERLINK("#数值转换成格式!A500","跳转")</f>
        <v>跳转</v>
      </c>
      <c r="E227" s="66" t="s">
        <v>388</v>
      </c>
      <c r="F227" s="51"/>
    </row>
    <row r="228" spans="1:6" ht="22.2">
      <c r="A228" s="29" t="str">
        <f>HYPERLINK("#A2","返回顶行")</f>
        <v>返回顶行</v>
      </c>
      <c r="B228" s="440" t="s">
        <v>18</v>
      </c>
      <c r="C228" s="441"/>
      <c r="D228" s="30" t="s">
        <v>389</v>
      </c>
      <c r="E228" s="77"/>
      <c r="F228" s="31"/>
    </row>
    <row r="229" spans="1:6" ht="19.2">
      <c r="A229" s="78"/>
      <c r="B229" s="47" t="s">
        <v>31</v>
      </c>
      <c r="C229" s="49" t="s">
        <v>390</v>
      </c>
      <c r="D229" s="50"/>
      <c r="E229" s="66"/>
      <c r="F229" s="51"/>
    </row>
    <row r="230" spans="1:6" ht="19.2">
      <c r="A230" s="78"/>
      <c r="B230" s="48"/>
      <c r="C230" s="41" t="s">
        <v>391</v>
      </c>
      <c r="D230" s="42" t="str">
        <f>HYPERLINK("#计算数据的个数!A1","跳转")</f>
        <v>跳转</v>
      </c>
      <c r="E230" s="67" t="s">
        <v>392</v>
      </c>
      <c r="F230" s="43"/>
    </row>
    <row r="231" spans="1:6" ht="19.2">
      <c r="A231" s="78"/>
      <c r="B231" s="47"/>
      <c r="C231" s="49" t="s">
        <v>393</v>
      </c>
      <c r="D231" s="52" t="str">
        <f>HYPERLINK("#计算数据的个数!A100","跳转")</f>
        <v>跳转</v>
      </c>
      <c r="E231" s="66" t="s">
        <v>390</v>
      </c>
      <c r="F231" s="51"/>
    </row>
    <row r="232" spans="1:6" ht="19.2">
      <c r="A232" s="78"/>
      <c r="B232" s="48"/>
      <c r="C232" s="41" t="s">
        <v>394</v>
      </c>
      <c r="D232" s="42" t="str">
        <f>HYPERLINK("#计算数据的个数!A200","跳转")</f>
        <v>跳转</v>
      </c>
      <c r="E232" s="67" t="s">
        <v>395</v>
      </c>
      <c r="F232" s="43"/>
    </row>
    <row r="233" spans="1:6" ht="19.2">
      <c r="A233" s="78"/>
      <c r="B233" s="47" t="s">
        <v>39</v>
      </c>
      <c r="C233" s="49" t="s">
        <v>396</v>
      </c>
      <c r="D233" s="50"/>
      <c r="E233" s="66"/>
      <c r="F233" s="51"/>
    </row>
    <row r="234" spans="1:6" ht="19.2">
      <c r="A234" s="78"/>
      <c r="B234" s="48"/>
      <c r="C234" s="41" t="s">
        <v>397</v>
      </c>
      <c r="D234" s="81" t="str">
        <f>HYPERLINK("#平均值!A1","跳转")</f>
        <v>跳转</v>
      </c>
      <c r="E234" s="67" t="s">
        <v>398</v>
      </c>
      <c r="F234" s="43"/>
    </row>
    <row r="235" spans="1:6" ht="19.2">
      <c r="A235" s="78"/>
      <c r="B235" s="47"/>
      <c r="C235" s="49" t="s">
        <v>399</v>
      </c>
      <c r="D235" s="52" t="str">
        <f>HYPERLINK("#平均值!A100","跳转")</f>
        <v>跳转</v>
      </c>
      <c r="E235" s="66" t="s">
        <v>400</v>
      </c>
      <c r="F235" s="51"/>
    </row>
    <row r="236" spans="1:6" ht="19.2">
      <c r="A236" s="78"/>
      <c r="B236" s="48"/>
      <c r="C236" s="41" t="s">
        <v>401</v>
      </c>
      <c r="D236" s="42" t="str">
        <f>HYPERLINK("#TRIMMEAN!A1","跳转")</f>
        <v>跳转</v>
      </c>
      <c r="E236" s="67" t="s">
        <v>402</v>
      </c>
      <c r="F236" s="43"/>
    </row>
    <row r="237" spans="1:6" ht="19.2">
      <c r="A237" s="78"/>
      <c r="B237" s="47"/>
      <c r="C237" s="49" t="s">
        <v>403</v>
      </c>
      <c r="D237" s="52" t="str">
        <f>HYPERLINK("#平均值!A200","跳转")</f>
        <v>跳转</v>
      </c>
      <c r="E237" s="66" t="s">
        <v>404</v>
      </c>
      <c r="F237" s="51"/>
    </row>
    <row r="238" spans="1:6" ht="19.2">
      <c r="A238" s="78"/>
      <c r="B238" s="48"/>
      <c r="C238" s="41" t="s">
        <v>405</v>
      </c>
      <c r="D238" s="42" t="str">
        <f>HYPERLINK("#平均值!A300","跳转")</f>
        <v>跳转</v>
      </c>
      <c r="E238" s="67" t="s">
        <v>406</v>
      </c>
      <c r="F238" s="43"/>
    </row>
    <row r="239" spans="1:6" ht="19.2">
      <c r="A239" s="78"/>
      <c r="B239" s="47" t="s">
        <v>47</v>
      </c>
      <c r="C239" s="49" t="s">
        <v>407</v>
      </c>
      <c r="D239" s="50"/>
      <c r="E239" s="66"/>
      <c r="F239" s="51"/>
    </row>
    <row r="240" spans="1:6" ht="19.2">
      <c r="A240" s="78"/>
      <c r="B240" s="48"/>
      <c r="C240" s="41" t="s">
        <v>408</v>
      </c>
      <c r="D240" s="42" t="str">
        <f>HYPERLINK("#中位数和众数!A1","跳转")</f>
        <v>跳转</v>
      </c>
      <c r="E240" s="67" t="s">
        <v>409</v>
      </c>
      <c r="F240" s="43"/>
    </row>
    <row r="241" spans="1:6" ht="19.2">
      <c r="A241" s="78"/>
      <c r="B241" s="47"/>
      <c r="C241" s="49" t="s">
        <v>410</v>
      </c>
      <c r="D241" s="52" t="str">
        <f>HYPERLINK("#中位数和众数!A100","跳转")</f>
        <v>跳转</v>
      </c>
      <c r="E241" s="66" t="s">
        <v>411</v>
      </c>
      <c r="F241" s="51"/>
    </row>
    <row r="242" spans="1:6" ht="19.2">
      <c r="A242" s="78"/>
      <c r="B242" s="48" t="s">
        <v>51</v>
      </c>
      <c r="C242" s="41" t="s">
        <v>412</v>
      </c>
      <c r="D242" s="42"/>
      <c r="E242" s="67"/>
      <c r="F242" s="43"/>
    </row>
    <row r="243" spans="1:6" ht="19.2">
      <c r="A243" s="78"/>
      <c r="B243" s="47"/>
      <c r="C243" s="49" t="s">
        <v>413</v>
      </c>
      <c r="D243" s="52" t="str">
        <f>HYPERLINK("#最大值和最小值!A1","跳转")</f>
        <v>跳转</v>
      </c>
      <c r="E243" s="66" t="s">
        <v>414</v>
      </c>
      <c r="F243" s="51"/>
    </row>
    <row r="244" spans="1:6" ht="19.2">
      <c r="A244" s="78"/>
      <c r="B244" s="48"/>
      <c r="C244" s="41" t="s">
        <v>415</v>
      </c>
      <c r="D244" s="42" t="str">
        <f>HYPERLINK("#最大值和最小值!A100","跳转")</f>
        <v>跳转</v>
      </c>
      <c r="E244" s="67" t="s">
        <v>416</v>
      </c>
      <c r="F244" s="43"/>
    </row>
    <row r="245" spans="1:6" ht="19.2">
      <c r="A245" s="78"/>
      <c r="B245" s="47"/>
      <c r="C245" s="49" t="s">
        <v>417</v>
      </c>
      <c r="D245" s="52" t="str">
        <f>HYPERLINK("#最大值和最小值!A200","跳转")</f>
        <v>跳转</v>
      </c>
      <c r="E245" s="66" t="s">
        <v>418</v>
      </c>
      <c r="F245" s="51"/>
    </row>
    <row r="246" spans="1:6" ht="19.2">
      <c r="A246" s="78"/>
      <c r="B246" s="48"/>
      <c r="C246" s="41" t="s">
        <v>419</v>
      </c>
      <c r="D246" s="42" t="str">
        <f>HYPERLINK("#最大值和最小值!A300","跳转")</f>
        <v>跳转</v>
      </c>
      <c r="E246" s="67" t="s">
        <v>420</v>
      </c>
      <c r="F246" s="43"/>
    </row>
    <row r="247" spans="1:6" ht="19.2">
      <c r="A247" s="78"/>
      <c r="B247" s="47" t="s">
        <v>55</v>
      </c>
      <c r="C247" s="49" t="s">
        <v>421</v>
      </c>
      <c r="D247" s="50"/>
      <c r="E247" s="66"/>
      <c r="F247" s="51"/>
    </row>
    <row r="248" spans="1:6" ht="19.2">
      <c r="A248" s="78"/>
      <c r="B248" s="48"/>
      <c r="C248" s="41" t="s">
        <v>422</v>
      </c>
      <c r="D248" s="42" t="str">
        <f>HYPERLINK("#计算位置!A1","跳转")</f>
        <v>跳转</v>
      </c>
      <c r="E248" s="67" t="s">
        <v>423</v>
      </c>
      <c r="F248" s="43"/>
    </row>
    <row r="249" spans="1:6" ht="19.2">
      <c r="A249" s="78"/>
      <c r="B249" s="47"/>
      <c r="C249" s="49" t="s">
        <v>424</v>
      </c>
      <c r="D249" s="52" t="str">
        <f>HYPERLINK("#计算位置!A100","跳转")</f>
        <v>跳转</v>
      </c>
      <c r="E249" s="66" t="s">
        <v>425</v>
      </c>
      <c r="F249" s="51"/>
    </row>
    <row r="250" spans="1:6" ht="19.2">
      <c r="A250" s="78"/>
      <c r="B250" s="48"/>
      <c r="C250" s="41" t="s">
        <v>426</v>
      </c>
      <c r="D250" s="42" t="str">
        <f>HYPERLINK("#计算位置!A200","跳转")</f>
        <v>跳转</v>
      </c>
      <c r="E250" s="67" t="s">
        <v>3770</v>
      </c>
      <c r="F250" s="43"/>
    </row>
    <row r="251" spans="1:6" ht="19.2">
      <c r="A251" s="78"/>
      <c r="B251" s="47" t="s">
        <v>61</v>
      </c>
      <c r="C251" s="49" t="s">
        <v>427</v>
      </c>
      <c r="D251" s="52"/>
      <c r="E251" s="66"/>
      <c r="F251" s="51"/>
    </row>
    <row r="252" spans="1:6" ht="19.2">
      <c r="A252" s="78"/>
      <c r="B252" s="48"/>
      <c r="C252" s="41" t="s">
        <v>428</v>
      </c>
      <c r="D252" s="42" t="str">
        <f>HYPERLINK("#FREQUENCY!A1","跳转")</f>
        <v>跳转</v>
      </c>
      <c r="E252" s="67" t="s">
        <v>429</v>
      </c>
      <c r="F252" s="43"/>
    </row>
    <row r="253" spans="1:6" ht="19.2">
      <c r="A253" s="78"/>
      <c r="B253" s="47" t="s">
        <v>67</v>
      </c>
      <c r="C253" s="49" t="s">
        <v>430</v>
      </c>
      <c r="D253" s="52"/>
      <c r="E253" s="66"/>
      <c r="F253" s="51"/>
    </row>
    <row r="254" spans="1:6" ht="19.2">
      <c r="A254" s="78"/>
      <c r="B254" s="48"/>
      <c r="C254" s="41" t="s">
        <v>431</v>
      </c>
      <c r="D254" s="42" t="str">
        <f>HYPERLINK("#百分位数和四分位数!A1","跳转")</f>
        <v>跳转</v>
      </c>
      <c r="E254" s="67" t="s">
        <v>432</v>
      </c>
      <c r="F254" s="43"/>
    </row>
    <row r="255" spans="1:6" ht="19.2">
      <c r="A255" s="78"/>
      <c r="B255" s="47"/>
      <c r="C255" s="49" t="s">
        <v>433</v>
      </c>
      <c r="D255" s="52" t="str">
        <f>HYPERLINK("#百分位数和四分位数!A100","跳转")</f>
        <v>跳转</v>
      </c>
      <c r="E255" s="66" t="s">
        <v>434</v>
      </c>
      <c r="F255" s="51"/>
    </row>
    <row r="256" spans="1:6" ht="19.2">
      <c r="A256" s="78"/>
      <c r="B256" s="48"/>
      <c r="C256" s="41" t="s">
        <v>435</v>
      </c>
      <c r="D256" s="42" t="str">
        <f>HYPERLINK("#百分位数和四分位数!A200","跳转")</f>
        <v>跳转</v>
      </c>
      <c r="E256" s="67" t="s">
        <v>436</v>
      </c>
      <c r="F256" s="43"/>
    </row>
    <row r="257" spans="1:6" ht="19.2">
      <c r="A257" s="78"/>
      <c r="B257" s="47" t="s">
        <v>73</v>
      </c>
      <c r="C257" s="49" t="s">
        <v>437</v>
      </c>
      <c r="D257" s="52"/>
      <c r="E257" s="66"/>
      <c r="F257" s="51"/>
    </row>
    <row r="258" spans="1:6" ht="19.2">
      <c r="A258" s="78"/>
      <c r="B258" s="48"/>
      <c r="C258" s="41" t="s">
        <v>438</v>
      </c>
      <c r="D258" s="42" t="str">
        <f>HYPERLINK("#计算方差!A1","跳转")</f>
        <v>跳转</v>
      </c>
      <c r="E258" s="67" t="s">
        <v>439</v>
      </c>
      <c r="F258" s="43"/>
    </row>
    <row r="259" spans="1:6" ht="19.2">
      <c r="A259" s="78"/>
      <c r="B259" s="47"/>
      <c r="C259" s="49" t="s">
        <v>440</v>
      </c>
      <c r="D259" s="52" t="str">
        <f>HYPERLINK("#计算方差!A100","跳转")</f>
        <v>跳转</v>
      </c>
      <c r="E259" s="66" t="s">
        <v>441</v>
      </c>
      <c r="F259" s="51"/>
    </row>
    <row r="260" spans="1:6" ht="19.2">
      <c r="A260" s="78"/>
      <c r="B260" s="48"/>
      <c r="C260" s="41" t="s">
        <v>442</v>
      </c>
      <c r="D260" s="42" t="str">
        <f>HYPERLINK("#计算方差!A200","跳转")</f>
        <v>跳转</v>
      </c>
      <c r="E260" s="67" t="s">
        <v>443</v>
      </c>
      <c r="F260" s="43"/>
    </row>
    <row r="261" spans="1:6" ht="19.2">
      <c r="A261" s="78"/>
      <c r="B261" s="47"/>
      <c r="C261" s="49" t="s">
        <v>444</v>
      </c>
      <c r="D261" s="52" t="str">
        <f>HYPERLINK("#计算方差!A300","跳转")</f>
        <v>跳转</v>
      </c>
      <c r="E261" s="66" t="s">
        <v>445</v>
      </c>
      <c r="F261" s="51"/>
    </row>
    <row r="262" spans="1:6" ht="19.2">
      <c r="A262" s="78"/>
      <c r="B262" s="48" t="s">
        <v>151</v>
      </c>
      <c r="C262" s="41" t="s">
        <v>446</v>
      </c>
      <c r="D262" s="53"/>
      <c r="E262" s="67"/>
      <c r="F262" s="43"/>
    </row>
    <row r="263" spans="1:6" ht="19.2">
      <c r="A263" s="78"/>
      <c r="B263" s="47"/>
      <c r="C263" s="49" t="s">
        <v>447</v>
      </c>
      <c r="D263" s="52" t="str">
        <f>HYPERLINK("#计算标准偏差!A1","跳转")</f>
        <v>跳转</v>
      </c>
      <c r="E263" s="66" t="s">
        <v>448</v>
      </c>
      <c r="F263" s="51"/>
    </row>
    <row r="264" spans="1:6" ht="19.2">
      <c r="A264" s="78"/>
      <c r="B264" s="48"/>
      <c r="C264" s="41" t="s">
        <v>449</v>
      </c>
      <c r="D264" s="42" t="str">
        <f>HYPERLINK("#计算标准偏差!A100","跳转")</f>
        <v>跳转</v>
      </c>
      <c r="E264" s="67" t="s">
        <v>448</v>
      </c>
      <c r="F264" s="43"/>
    </row>
    <row r="265" spans="1:6" ht="19.2">
      <c r="A265" s="78"/>
      <c r="B265" s="47"/>
      <c r="C265" s="49" t="s">
        <v>450</v>
      </c>
      <c r="D265" s="52" t="str">
        <f>HYPERLINK("#计算标准偏差!A200","跳转")</f>
        <v>跳转</v>
      </c>
      <c r="E265" s="66" t="s">
        <v>451</v>
      </c>
      <c r="F265" s="51"/>
    </row>
    <row r="266" spans="1:6" ht="19.2">
      <c r="A266" s="78"/>
      <c r="B266" s="48"/>
      <c r="C266" s="41" t="s">
        <v>452</v>
      </c>
      <c r="D266" s="42" t="str">
        <f>HYPERLINK("#计算标准偏差!A300","跳转")</f>
        <v>跳转</v>
      </c>
      <c r="E266" s="67" t="s">
        <v>451</v>
      </c>
      <c r="F266" s="43"/>
    </row>
    <row r="267" spans="1:6" ht="19.2">
      <c r="A267" s="78"/>
      <c r="B267" s="47" t="s">
        <v>163</v>
      </c>
      <c r="C267" s="49" t="s">
        <v>453</v>
      </c>
      <c r="D267" s="50"/>
      <c r="E267" s="66"/>
      <c r="F267" s="51"/>
    </row>
    <row r="268" spans="1:6" ht="19.2">
      <c r="A268" s="78"/>
      <c r="B268" s="48"/>
      <c r="C268" s="41" t="s">
        <v>454</v>
      </c>
      <c r="D268" s="42" t="str">
        <f>HYPERLINK("#计算平均偏差和变动!A1","跳转")</f>
        <v>跳转</v>
      </c>
      <c r="E268" s="67" t="s">
        <v>455</v>
      </c>
      <c r="F268" s="43"/>
    </row>
    <row r="269" spans="1:6" ht="19.2">
      <c r="A269" s="78"/>
      <c r="B269" s="47"/>
      <c r="C269" s="49" t="s">
        <v>456</v>
      </c>
      <c r="D269" s="52" t="str">
        <f>HYPERLINK("#计算平均偏差和变动!A100","跳转")</f>
        <v>跳转</v>
      </c>
      <c r="E269" s="66" t="s">
        <v>457</v>
      </c>
      <c r="F269" s="51"/>
    </row>
    <row r="270" spans="1:6" ht="19.2">
      <c r="A270" s="78"/>
      <c r="B270" s="48" t="s">
        <v>166</v>
      </c>
      <c r="C270" s="41" t="s">
        <v>458</v>
      </c>
      <c r="D270" s="53"/>
      <c r="E270" s="67"/>
      <c r="F270" s="43"/>
    </row>
    <row r="271" spans="1:6" ht="19.2">
      <c r="A271" s="78"/>
      <c r="B271" s="47"/>
      <c r="C271" s="49" t="s">
        <v>459</v>
      </c>
      <c r="D271" s="52" t="str">
        <f>HYPERLINK("#数据的标准化与比率和偏斜度!A1","跳转")</f>
        <v>跳转</v>
      </c>
      <c r="E271" s="66" t="s">
        <v>460</v>
      </c>
      <c r="F271" s="51"/>
    </row>
    <row r="272" spans="1:6" ht="19.2">
      <c r="A272" s="78"/>
      <c r="B272" s="48" t="s">
        <v>171</v>
      </c>
      <c r="C272" s="41" t="s">
        <v>461</v>
      </c>
      <c r="D272" s="53"/>
      <c r="E272" s="67"/>
      <c r="F272" s="43"/>
    </row>
    <row r="273" spans="1:6" ht="19.2">
      <c r="A273" s="78"/>
      <c r="B273" s="47"/>
      <c r="C273" s="49" t="s">
        <v>462</v>
      </c>
      <c r="D273" s="52" t="str">
        <f>HYPERLINK("#数据的标准化与比率和偏斜度!A100","跳转")</f>
        <v>跳转</v>
      </c>
      <c r="E273" s="66" t="s">
        <v>463</v>
      </c>
      <c r="F273" s="51"/>
    </row>
    <row r="274" spans="1:6" ht="19.2">
      <c r="A274" s="78"/>
      <c r="B274" s="48"/>
      <c r="C274" s="41" t="s">
        <v>464</v>
      </c>
      <c r="D274" s="42" t="str">
        <f>HYPERLINK("#数据的标准化与比率和偏斜度!A200","跳转")</f>
        <v>跳转</v>
      </c>
      <c r="E274" s="67" t="s">
        <v>465</v>
      </c>
      <c r="F274" s="43"/>
    </row>
    <row r="275" spans="1:6" ht="19.2">
      <c r="A275" s="78"/>
      <c r="B275" s="47" t="s">
        <v>177</v>
      </c>
      <c r="C275" s="49" t="s">
        <v>466</v>
      </c>
      <c r="D275" s="50"/>
      <c r="E275" s="66"/>
      <c r="F275" s="51"/>
    </row>
    <row r="276" spans="1:6" ht="19.2">
      <c r="A276" s="78"/>
      <c r="B276" s="48"/>
      <c r="C276" s="41" t="s">
        <v>467</v>
      </c>
      <c r="D276" s="42" t="str">
        <f>HYPERLINK("#使用回归直曲线或指数回归进行的预测!A1","跳转")</f>
        <v>跳转</v>
      </c>
      <c r="E276" s="67" t="s">
        <v>468</v>
      </c>
      <c r="F276" s="43"/>
    </row>
    <row r="277" spans="1:6" ht="19.2">
      <c r="A277" s="78"/>
      <c r="B277" s="47"/>
      <c r="C277" s="49" t="s">
        <v>469</v>
      </c>
      <c r="D277" s="52" t="str">
        <f>HYPERLINK("#使用回归直曲线或指数回归进行的预测!A100","跳转")</f>
        <v>跳转</v>
      </c>
      <c r="E277" s="66" t="s">
        <v>470</v>
      </c>
      <c r="F277" s="51"/>
    </row>
    <row r="278" spans="1:6" ht="19.2">
      <c r="A278" s="78"/>
      <c r="B278" s="48"/>
      <c r="C278" s="41" t="s">
        <v>471</v>
      </c>
      <c r="D278" s="42" t="str">
        <f>HYPERLINK("#使用回归直曲线或指数回归进行的预测!A200","跳转")</f>
        <v>跳转</v>
      </c>
      <c r="E278" s="67" t="s">
        <v>472</v>
      </c>
      <c r="F278" s="43"/>
    </row>
    <row r="279" spans="1:6" ht="19.2">
      <c r="A279" s="78"/>
      <c r="B279" s="47"/>
      <c r="C279" s="49" t="s">
        <v>473</v>
      </c>
      <c r="D279" s="52" t="str">
        <f>HYPERLINK("#使用回归直曲线或指数回归进行的预测!A300","跳转")</f>
        <v>跳转</v>
      </c>
      <c r="E279" s="66" t="s">
        <v>474</v>
      </c>
      <c r="F279" s="51"/>
    </row>
    <row r="280" spans="1:6" ht="19.2">
      <c r="A280" s="78"/>
      <c r="B280" s="48"/>
      <c r="C280" s="41" t="s">
        <v>475</v>
      </c>
      <c r="D280" s="42" t="str">
        <f>HYPERLINK("#使用回归直曲线或指数回归进行的预测!A400","跳转")</f>
        <v>跳转</v>
      </c>
      <c r="E280" s="67" t="s">
        <v>476</v>
      </c>
      <c r="F280" s="43"/>
    </row>
    <row r="281" spans="1:6" ht="19.2">
      <c r="A281" s="78"/>
      <c r="B281" s="47"/>
      <c r="C281" s="49" t="s">
        <v>477</v>
      </c>
      <c r="D281" s="52" t="str">
        <f>HYPERLINK("#使用回归直曲线或指数回归进行的预测!A500","跳转")</f>
        <v>跳转</v>
      </c>
      <c r="E281" s="66" t="s">
        <v>478</v>
      </c>
      <c r="F281" s="51"/>
    </row>
    <row r="282" spans="1:6" ht="19.2">
      <c r="A282" s="78"/>
      <c r="B282" s="48"/>
      <c r="C282" s="41" t="s">
        <v>479</v>
      </c>
      <c r="D282" s="42" t="str">
        <f>HYPERLINK("#使用回归直曲线或指数回归进行的预测!A600","跳转")</f>
        <v>跳转</v>
      </c>
      <c r="E282" s="67" t="s">
        <v>480</v>
      </c>
      <c r="F282" s="43"/>
    </row>
    <row r="283" spans="1:6" ht="19.2">
      <c r="A283" s="78"/>
      <c r="B283" s="47" t="s">
        <v>185</v>
      </c>
      <c r="C283" s="49" t="s">
        <v>481</v>
      </c>
      <c r="D283" s="50"/>
      <c r="E283" s="66"/>
      <c r="F283" s="51"/>
    </row>
    <row r="284" spans="1:6" ht="19.2">
      <c r="A284" s="78"/>
      <c r="B284" s="48"/>
      <c r="C284" s="41" t="s">
        <v>482</v>
      </c>
      <c r="D284" s="42" t="str">
        <f>HYPERLINK("#使用回归直曲线或指数回归进行的预测!A700","跳转")</f>
        <v>跳转</v>
      </c>
      <c r="E284" s="67" t="s">
        <v>483</v>
      </c>
      <c r="F284" s="43"/>
    </row>
    <row r="285" spans="1:6" ht="19.2">
      <c r="A285" s="78"/>
      <c r="B285" s="47"/>
      <c r="C285" s="49" t="s">
        <v>484</v>
      </c>
      <c r="D285" s="52" t="str">
        <f>HYPERLINK("#使用回归直曲线或指数回归进行的预测!A800","跳转")</f>
        <v>跳转</v>
      </c>
      <c r="E285" s="66" t="s">
        <v>485</v>
      </c>
      <c r="F285" s="51"/>
    </row>
    <row r="286" spans="1:6" ht="19.2">
      <c r="A286" s="78"/>
      <c r="B286" s="48" t="s">
        <v>189</v>
      </c>
      <c r="C286" s="63" t="s">
        <v>486</v>
      </c>
      <c r="D286" s="42"/>
      <c r="E286" s="67"/>
      <c r="F286" s="43"/>
    </row>
    <row r="287" spans="1:6" ht="19.2">
      <c r="A287" s="78"/>
      <c r="B287" s="47"/>
      <c r="C287" s="61" t="s">
        <v>785</v>
      </c>
      <c r="D287" s="52" t="str">
        <f>HYPERLINK("#计算相关系数!A1","跳转")</f>
        <v>跳转</v>
      </c>
      <c r="E287" s="66" t="s">
        <v>486</v>
      </c>
      <c r="F287" s="51"/>
    </row>
    <row r="288" spans="1:6" ht="19.2">
      <c r="A288" s="78"/>
      <c r="B288" s="48"/>
      <c r="C288" s="63" t="s">
        <v>1068</v>
      </c>
      <c r="D288" s="42" t="str">
        <f>HYPERLINK("#计算相关系数!A100","跳转")</f>
        <v>跳转</v>
      </c>
      <c r="E288" s="67" t="s">
        <v>486</v>
      </c>
      <c r="F288" s="43"/>
    </row>
    <row r="289" spans="1:6" ht="19.2">
      <c r="A289" s="78"/>
      <c r="B289" s="47"/>
      <c r="C289" s="61" t="s">
        <v>803</v>
      </c>
      <c r="D289" s="52" t="str">
        <f>HYPERLINK("#计算相关系数!A200","跳转")</f>
        <v>跳转</v>
      </c>
      <c r="E289" s="66" t="s">
        <v>487</v>
      </c>
      <c r="F289" s="51"/>
    </row>
    <row r="290" spans="1:6" ht="19.2">
      <c r="A290" s="78"/>
      <c r="B290" s="48" t="s">
        <v>195</v>
      </c>
      <c r="C290" s="63" t="s">
        <v>488</v>
      </c>
      <c r="D290" s="80"/>
      <c r="E290" s="67"/>
      <c r="F290" s="43"/>
    </row>
    <row r="291" spans="1:6" ht="19.2">
      <c r="A291" s="78"/>
      <c r="B291" s="47"/>
      <c r="C291" s="61" t="s">
        <v>781</v>
      </c>
      <c r="D291" s="52" t="str">
        <f>HYPERLINK("#CONFIDENCE与PROB!A1","跳转")</f>
        <v>跳转</v>
      </c>
      <c r="E291" s="66" t="s">
        <v>488</v>
      </c>
      <c r="F291" s="51"/>
    </row>
    <row r="292" spans="1:6" ht="19.2">
      <c r="A292" s="78"/>
      <c r="B292" s="48" t="s">
        <v>203</v>
      </c>
      <c r="C292" s="63" t="s">
        <v>489</v>
      </c>
      <c r="D292" s="80"/>
      <c r="E292" s="67"/>
      <c r="F292" s="43"/>
    </row>
    <row r="293" spans="1:6" ht="19.2">
      <c r="A293" s="78"/>
      <c r="B293" s="47"/>
      <c r="C293" s="61" t="s">
        <v>1086</v>
      </c>
      <c r="D293" s="52" t="str">
        <f>HYPERLINK("#CONFIDENCE与PROB!A100","跳转")</f>
        <v>跳转</v>
      </c>
      <c r="E293" s="66" t="s">
        <v>490</v>
      </c>
      <c r="F293" s="51"/>
    </row>
    <row r="294" spans="1:6" ht="19.2">
      <c r="A294" s="78"/>
      <c r="B294" s="48" t="s">
        <v>213</v>
      </c>
      <c r="C294" s="63" t="s">
        <v>491</v>
      </c>
      <c r="D294" s="80"/>
      <c r="E294" s="67"/>
      <c r="F294" s="43"/>
    </row>
    <row r="295" spans="1:6" ht="19.2">
      <c r="A295" s="78"/>
      <c r="B295" s="47"/>
      <c r="C295" s="61" t="s">
        <v>759</v>
      </c>
      <c r="D295" s="52" t="str">
        <f>HYPERLINK("#各种分布的概率!A1","跳转")</f>
        <v>跳转</v>
      </c>
      <c r="E295" s="66" t="s">
        <v>492</v>
      </c>
      <c r="F295" s="51"/>
    </row>
    <row r="296" spans="1:6" ht="19.2">
      <c r="A296" s="78"/>
      <c r="B296" s="48"/>
      <c r="C296" s="63" t="s">
        <v>805</v>
      </c>
      <c r="D296" s="42" t="str">
        <f>HYPERLINK("#各种分布的概率!A100","跳转")</f>
        <v>跳转</v>
      </c>
      <c r="E296" s="67" t="s">
        <v>493</v>
      </c>
      <c r="F296" s="43"/>
    </row>
    <row r="297" spans="1:6" ht="19.2">
      <c r="A297" s="78"/>
      <c r="B297" s="47"/>
      <c r="C297" s="61" t="s">
        <v>1038</v>
      </c>
      <c r="D297" s="52" t="str">
        <f>HYPERLINK("#各种分布的概率!A200","跳转")</f>
        <v>跳转</v>
      </c>
      <c r="E297" s="66" t="s">
        <v>494</v>
      </c>
      <c r="F297" s="51"/>
    </row>
    <row r="298" spans="1:6" ht="19.2">
      <c r="A298" s="78"/>
      <c r="B298" s="48" t="s">
        <v>221</v>
      </c>
      <c r="C298" s="63" t="s">
        <v>495</v>
      </c>
      <c r="D298" s="80"/>
      <c r="E298" s="67"/>
      <c r="F298" s="43"/>
    </row>
    <row r="299" spans="1:6" ht="19.2">
      <c r="A299" s="78"/>
      <c r="B299" s="47"/>
      <c r="C299" s="61" t="s">
        <v>923</v>
      </c>
      <c r="D299" s="52" t="str">
        <f>HYPERLINK("#各种分布的概率!A300","跳转")</f>
        <v>跳转</v>
      </c>
      <c r="E299" s="66" t="s">
        <v>495</v>
      </c>
      <c r="F299" s="51"/>
    </row>
    <row r="300" spans="1:6" ht="19.2">
      <c r="A300" s="78"/>
      <c r="B300" s="48" t="s">
        <v>229</v>
      </c>
      <c r="C300" s="63" t="s">
        <v>497</v>
      </c>
      <c r="D300" s="80"/>
      <c r="E300" s="67"/>
      <c r="F300" s="43"/>
    </row>
    <row r="301" spans="1:6" ht="19.2">
      <c r="A301" s="78"/>
      <c r="B301" s="47"/>
      <c r="C301" s="61" t="s">
        <v>496</v>
      </c>
      <c r="D301" s="52" t="str">
        <f>HYPERLINK("#各种分布的概率!A400","跳转")</f>
        <v>跳转</v>
      </c>
      <c r="E301" s="66" t="s">
        <v>497</v>
      </c>
      <c r="F301" s="51"/>
    </row>
    <row r="302" spans="1:6" ht="19.2">
      <c r="A302" s="78"/>
      <c r="B302" s="48" t="s">
        <v>237</v>
      </c>
      <c r="C302" s="63" t="s">
        <v>498</v>
      </c>
      <c r="D302" s="80"/>
      <c r="E302" s="67"/>
      <c r="F302" s="43"/>
    </row>
    <row r="303" spans="1:6" ht="19.2">
      <c r="A303" s="78"/>
      <c r="B303" s="47"/>
      <c r="C303" s="61" t="s">
        <v>499</v>
      </c>
      <c r="D303" s="52" t="str">
        <f>HYPERLINK("#各种分布的概率!A500","跳转")</f>
        <v>跳转</v>
      </c>
      <c r="E303" s="66" t="s">
        <v>500</v>
      </c>
      <c r="F303" s="51"/>
    </row>
    <row r="304" spans="1:6" ht="19.2">
      <c r="A304" s="78"/>
      <c r="B304" s="48"/>
      <c r="C304" s="63" t="s">
        <v>501</v>
      </c>
      <c r="D304" s="42" t="str">
        <f>HYPERLINK("#各种分布的概率!A600","跳转")</f>
        <v>跳转</v>
      </c>
      <c r="E304" s="67" t="s">
        <v>502</v>
      </c>
      <c r="F304" s="43"/>
    </row>
    <row r="305" spans="1:6" ht="19.2">
      <c r="A305" s="78"/>
      <c r="B305" s="47"/>
      <c r="C305" s="61" t="s">
        <v>503</v>
      </c>
      <c r="D305" s="52" t="str">
        <f>HYPERLINK("#各种分布的概率!A700","跳转")</f>
        <v>跳转</v>
      </c>
      <c r="E305" s="66" t="s">
        <v>504</v>
      </c>
      <c r="F305" s="51"/>
    </row>
    <row r="306" spans="1:6" ht="19.2">
      <c r="A306" s="78"/>
      <c r="B306" s="48"/>
      <c r="C306" s="63" t="s">
        <v>505</v>
      </c>
      <c r="D306" s="42" t="str">
        <f>HYPERLINK("#各种分布的概率!A800","跳转")</f>
        <v>跳转</v>
      </c>
      <c r="E306" s="67" t="s">
        <v>506</v>
      </c>
      <c r="F306" s="43"/>
    </row>
    <row r="307" spans="1:6" ht="19.2">
      <c r="A307" s="78"/>
      <c r="B307" s="47" t="s">
        <v>507</v>
      </c>
      <c r="C307" s="61" t="s">
        <v>508</v>
      </c>
      <c r="D307" s="82"/>
      <c r="E307" s="66"/>
      <c r="F307" s="51"/>
    </row>
    <row r="308" spans="1:6" ht="19.2">
      <c r="A308" s="78"/>
      <c r="B308" s="48"/>
      <c r="C308" s="63" t="s">
        <v>1009</v>
      </c>
      <c r="D308" s="42" t="str">
        <f>HYPERLINK("#对数正态分布的累积概率!A1","跳转")</f>
        <v>跳转</v>
      </c>
      <c r="E308" s="67" t="s">
        <v>508</v>
      </c>
      <c r="F308" s="43"/>
    </row>
    <row r="309" spans="1:6" ht="19.2">
      <c r="A309" s="78"/>
      <c r="B309" s="47"/>
      <c r="C309" s="61" t="s">
        <v>1007</v>
      </c>
      <c r="D309" s="52" t="str">
        <f>HYPERLINK("#对数正态分布的累积概率!A100","跳转")</f>
        <v>跳转</v>
      </c>
      <c r="E309" s="66" t="s">
        <v>509</v>
      </c>
      <c r="F309" s="51"/>
    </row>
    <row r="310" spans="1:6" ht="19.2">
      <c r="A310" s="78"/>
      <c r="B310" s="48" t="s">
        <v>510</v>
      </c>
      <c r="C310" s="63" t="s">
        <v>511</v>
      </c>
      <c r="D310" s="80"/>
      <c r="E310" s="67"/>
      <c r="F310" s="43"/>
    </row>
    <row r="311" spans="1:6" ht="19.2">
      <c r="A311" s="78"/>
      <c r="B311" s="47"/>
      <c r="C311" s="61" t="s">
        <v>769</v>
      </c>
      <c r="D311" s="52" t="str">
        <f>HYPERLINK("#卡方分布与检验!A1","跳转")</f>
        <v>跳转</v>
      </c>
      <c r="E311" s="66" t="s">
        <v>512</v>
      </c>
      <c r="F311" s="51"/>
    </row>
    <row r="312" spans="1:6" ht="19.2">
      <c r="A312" s="78"/>
      <c r="B312" s="48"/>
      <c r="C312" s="63" t="s">
        <v>770</v>
      </c>
      <c r="D312" s="42" t="str">
        <f>HYPERLINK("#卡方分布与检验!A100","跳转")</f>
        <v>跳转</v>
      </c>
      <c r="E312" s="67" t="s">
        <v>513</v>
      </c>
      <c r="F312" s="43"/>
    </row>
    <row r="313" spans="1:6" ht="19.2">
      <c r="A313" s="78"/>
      <c r="B313" s="47"/>
      <c r="C313" s="61" t="s">
        <v>771</v>
      </c>
      <c r="D313" s="52" t="str">
        <f>HYPERLINK("#卡方分布与检验!A200","跳转")</f>
        <v>跳转</v>
      </c>
      <c r="E313" s="66" t="s">
        <v>514</v>
      </c>
      <c r="F313" s="51"/>
    </row>
    <row r="314" spans="1:6" ht="19.2">
      <c r="A314" s="78"/>
      <c r="B314" s="48" t="s">
        <v>515</v>
      </c>
      <c r="C314" s="63" t="s">
        <v>5794</v>
      </c>
      <c r="D314" s="80"/>
      <c r="E314" s="67"/>
      <c r="F314" s="43"/>
    </row>
    <row r="315" spans="1:6" ht="19.2">
      <c r="A315" s="78"/>
      <c r="B315" s="47"/>
      <c r="C315" s="61" t="s">
        <v>1161</v>
      </c>
      <c r="D315" s="52" t="str">
        <f>HYPERLINK("#t分布与检验!A1","跳转")</f>
        <v>跳转</v>
      </c>
      <c r="E315" s="66" t="s">
        <v>516</v>
      </c>
      <c r="F315" s="51"/>
    </row>
    <row r="316" spans="1:6" ht="19.2">
      <c r="A316" s="78"/>
      <c r="B316" s="48"/>
      <c r="C316" s="63" t="s">
        <v>1166</v>
      </c>
      <c r="D316" s="42" t="str">
        <f>HYPERLINK("#t分布与检验!A100","跳转")</f>
        <v>跳转</v>
      </c>
      <c r="E316" s="67" t="s">
        <v>517</v>
      </c>
      <c r="F316" s="43"/>
    </row>
    <row r="317" spans="1:6" ht="19.2">
      <c r="A317" s="78"/>
      <c r="B317" s="47"/>
      <c r="C317" s="61" t="s">
        <v>1175</v>
      </c>
      <c r="D317" s="52" t="str">
        <f>HYPERLINK("#t分布与检验!A200","跳转")</f>
        <v>跳转</v>
      </c>
      <c r="E317" s="66" t="s">
        <v>518</v>
      </c>
      <c r="F317" s="51"/>
    </row>
    <row r="318" spans="1:6" ht="19.2">
      <c r="A318" s="78"/>
      <c r="B318" s="48" t="s">
        <v>519</v>
      </c>
      <c r="C318" s="63" t="s">
        <v>520</v>
      </c>
      <c r="D318" s="80"/>
      <c r="E318" s="67"/>
      <c r="F318" s="43"/>
    </row>
    <row r="319" spans="1:6" ht="19.2">
      <c r="A319" s="78"/>
      <c r="B319" s="47"/>
      <c r="C319" s="61" t="s">
        <v>1209</v>
      </c>
      <c r="D319" s="52" t="str">
        <f>HYPERLINK("#ZTEST与EXPONDIST与WEIBULL!A1","跳转")</f>
        <v>跳转</v>
      </c>
      <c r="E319" s="66" t="s">
        <v>521</v>
      </c>
      <c r="F319" s="51"/>
    </row>
    <row r="320" spans="1:6" ht="19.2">
      <c r="A320" s="78"/>
      <c r="B320" s="48" t="s">
        <v>522</v>
      </c>
      <c r="C320" s="63" t="s">
        <v>5795</v>
      </c>
      <c r="D320" s="80"/>
      <c r="E320" s="67"/>
      <c r="F320" s="43"/>
    </row>
    <row r="321" spans="1:6" ht="19.2">
      <c r="A321" s="78"/>
      <c r="B321" s="47"/>
      <c r="C321" s="61" t="s">
        <v>881</v>
      </c>
      <c r="D321" s="52" t="str">
        <f>HYPERLINK("#F分布与检验!A1","跳转")</f>
        <v>跳转</v>
      </c>
      <c r="E321" s="66" t="s">
        <v>523</v>
      </c>
      <c r="F321" s="51"/>
    </row>
    <row r="322" spans="1:6" ht="19.2">
      <c r="A322" s="78"/>
      <c r="B322" s="48"/>
      <c r="C322" s="63" t="s">
        <v>885</v>
      </c>
      <c r="D322" s="42" t="str">
        <f>HYPERLINK("#F分布与检验!A100","跳转")</f>
        <v>跳转</v>
      </c>
      <c r="E322" s="67" t="s">
        <v>524</v>
      </c>
      <c r="F322" s="43"/>
    </row>
    <row r="323" spans="1:6" ht="19.2">
      <c r="A323" s="78"/>
      <c r="B323" s="47"/>
      <c r="C323" s="61" t="s">
        <v>894</v>
      </c>
      <c r="D323" s="52" t="str">
        <f>HYPERLINK("#F分布与检验!A200","跳转")</f>
        <v>跳转</v>
      </c>
      <c r="E323" s="66" t="s">
        <v>518</v>
      </c>
      <c r="F323" s="51"/>
    </row>
    <row r="324" spans="1:6" ht="19.2">
      <c r="A324" s="78"/>
      <c r="B324" s="48" t="s">
        <v>525</v>
      </c>
      <c r="C324" s="63" t="s">
        <v>5796</v>
      </c>
      <c r="D324" s="80"/>
      <c r="E324" s="67"/>
      <c r="F324" s="43"/>
    </row>
    <row r="325" spans="1:6" ht="19.2">
      <c r="A325" s="78"/>
      <c r="B325" s="47"/>
      <c r="C325" s="61" t="s">
        <v>887</v>
      </c>
      <c r="D325" s="52" t="str">
        <f>HYPERLINK("#FISHER变换!A1","跳转")</f>
        <v>跳转</v>
      </c>
      <c r="E325" s="66" t="s">
        <v>526</v>
      </c>
      <c r="F325" s="51"/>
    </row>
    <row r="326" spans="1:6" ht="19.2">
      <c r="A326" s="78"/>
      <c r="B326" s="48"/>
      <c r="C326" s="63" t="s">
        <v>889</v>
      </c>
      <c r="D326" s="42" t="str">
        <f>HYPERLINK("#FISHER变换!A100","跳转")</f>
        <v>跳转</v>
      </c>
      <c r="E326" s="67" t="s">
        <v>527</v>
      </c>
      <c r="F326" s="43"/>
    </row>
    <row r="327" spans="1:6" ht="19.2">
      <c r="A327" s="78"/>
      <c r="B327" s="47" t="s">
        <v>528</v>
      </c>
      <c r="C327" s="61" t="s">
        <v>529</v>
      </c>
      <c r="D327" s="82"/>
      <c r="E327" s="66"/>
      <c r="F327" s="51"/>
    </row>
    <row r="328" spans="1:6" ht="19.2">
      <c r="A328" s="78"/>
      <c r="B328" s="48"/>
      <c r="C328" s="63" t="s">
        <v>875</v>
      </c>
      <c r="D328" s="42" t="str">
        <f>HYPERLINK("#ZTEST与EXPONDIST与WEIBULL!A100","跳转")</f>
        <v>跳转</v>
      </c>
      <c r="E328" s="67" t="s">
        <v>530</v>
      </c>
      <c r="F328" s="43"/>
    </row>
    <row r="329" spans="1:6" ht="19.2">
      <c r="A329" s="78"/>
      <c r="B329" s="47" t="s">
        <v>531</v>
      </c>
      <c r="C329" s="61" t="s">
        <v>532</v>
      </c>
      <c r="D329" s="82"/>
      <c r="E329" s="66"/>
      <c r="F329" s="51"/>
    </row>
    <row r="330" spans="1:6" ht="19.2">
      <c r="A330" s="78"/>
      <c r="B330" s="48"/>
      <c r="C330" s="63" t="s">
        <v>901</v>
      </c>
      <c r="D330" s="42" t="str">
        <f>HYPERLINK("#计算伽玛分布!A1","跳转")</f>
        <v>跳转</v>
      </c>
      <c r="E330" s="67" t="s">
        <v>533</v>
      </c>
      <c r="F330" s="43"/>
    </row>
    <row r="331" spans="1:6" ht="19.2">
      <c r="A331" s="78"/>
      <c r="B331" s="47"/>
      <c r="C331" s="61" t="s">
        <v>903</v>
      </c>
      <c r="D331" s="52" t="str">
        <f>HYPERLINK("#计算伽玛分布!A100","跳转")</f>
        <v>跳转</v>
      </c>
      <c r="E331" s="66" t="s">
        <v>534</v>
      </c>
      <c r="F331" s="51"/>
    </row>
    <row r="332" spans="1:6" ht="19.2">
      <c r="A332" s="78"/>
      <c r="B332" s="48"/>
      <c r="C332" s="63" t="s">
        <v>905</v>
      </c>
      <c r="D332" s="42" t="str">
        <f>HYPERLINK("#计算伽玛分布!A200","跳转")</f>
        <v>跳转</v>
      </c>
      <c r="E332" s="67" t="s">
        <v>535</v>
      </c>
      <c r="F332" s="43"/>
    </row>
    <row r="333" spans="1:6" ht="19.2">
      <c r="A333" s="78"/>
      <c r="B333" s="47" t="s">
        <v>536</v>
      </c>
      <c r="C333" s="61" t="s">
        <v>5797</v>
      </c>
      <c r="D333" s="82"/>
      <c r="E333" s="66"/>
      <c r="F333" s="51"/>
    </row>
    <row r="334" spans="1:6" ht="19.2">
      <c r="A334" s="78"/>
      <c r="B334" s="48"/>
      <c r="C334" s="63" t="s">
        <v>750</v>
      </c>
      <c r="D334" s="42" t="str">
        <f>HYPERLINK("#计算Beta分布!A1","跳转")</f>
        <v>跳转</v>
      </c>
      <c r="E334" s="67" t="s">
        <v>537</v>
      </c>
      <c r="F334" s="43"/>
    </row>
    <row r="335" spans="1:6" ht="19.2">
      <c r="A335" s="78"/>
      <c r="B335" s="47"/>
      <c r="C335" s="61" t="s">
        <v>752</v>
      </c>
      <c r="D335" s="52" t="str">
        <f>HYPERLINK("#计算Beta分布!A100","跳转")</f>
        <v>跳转</v>
      </c>
      <c r="E335" s="66" t="s">
        <v>538</v>
      </c>
      <c r="F335" s="51"/>
    </row>
    <row r="336" spans="1:6" ht="19.2">
      <c r="A336" s="78"/>
      <c r="B336" s="48" t="s">
        <v>539</v>
      </c>
      <c r="C336" s="63" t="s">
        <v>540</v>
      </c>
      <c r="D336" s="80"/>
      <c r="E336" s="67"/>
      <c r="F336" s="43"/>
    </row>
    <row r="337" spans="1:6" ht="19.2">
      <c r="A337" s="78"/>
      <c r="B337" s="83"/>
      <c r="C337" s="61" t="s">
        <v>1192</v>
      </c>
      <c r="D337" s="52" t="str">
        <f>HYPERLINK("#ZTEST与EXPONDIST与WEIBULL!A200","跳转")</f>
        <v>跳转</v>
      </c>
      <c r="E337" s="66" t="s">
        <v>541</v>
      </c>
      <c r="F337" s="51"/>
    </row>
    <row r="338" spans="1:6" ht="22.2">
      <c r="A338" s="29" t="str">
        <f>HYPERLINK("#A2","返回顶行")</f>
        <v>返回顶行</v>
      </c>
      <c r="B338" s="440" t="s">
        <v>20</v>
      </c>
      <c r="C338" s="441"/>
      <c r="D338" s="30" t="s">
        <v>542</v>
      </c>
      <c r="E338" s="84"/>
      <c r="F338" s="31"/>
    </row>
    <row r="339" spans="1:6" ht="19.2">
      <c r="A339" s="78"/>
      <c r="B339" s="48" t="s">
        <v>31</v>
      </c>
      <c r="C339" s="63" t="s">
        <v>543</v>
      </c>
      <c r="D339" s="80"/>
      <c r="E339" s="67"/>
      <c r="F339" s="43"/>
    </row>
    <row r="340" spans="1:6" ht="19.2">
      <c r="A340" s="78"/>
      <c r="B340" s="47"/>
      <c r="C340" s="61" t="s">
        <v>1074</v>
      </c>
      <c r="D340" s="52" t="str">
        <f>HYPERLINK("#贷款部分!A1","跳转")</f>
        <v>跳转</v>
      </c>
      <c r="E340" s="66" t="s">
        <v>544</v>
      </c>
      <c r="F340" s="51"/>
    </row>
    <row r="341" spans="1:6" ht="19.2">
      <c r="A341" s="78"/>
      <c r="B341" s="48" t="s">
        <v>39</v>
      </c>
      <c r="C341" s="63" t="s">
        <v>545</v>
      </c>
      <c r="D341" s="80"/>
      <c r="E341" s="67"/>
      <c r="F341" s="43"/>
    </row>
    <row r="342" spans="1:6" ht="19.2">
      <c r="A342" s="78"/>
      <c r="B342" s="47"/>
      <c r="C342" s="61" t="s">
        <v>1078</v>
      </c>
      <c r="D342" s="52" t="str">
        <f>HYPERLINK("#贷款部分!A100","跳转")</f>
        <v>跳转</v>
      </c>
      <c r="E342" s="66" t="s">
        <v>546</v>
      </c>
      <c r="F342" s="51"/>
    </row>
    <row r="343" spans="1:6" ht="19.2">
      <c r="A343" s="78"/>
      <c r="B343" s="48"/>
      <c r="C343" s="63" t="s">
        <v>809</v>
      </c>
      <c r="D343" s="42" t="str">
        <f>HYPERLINK("#贷款部分!A200","跳转")</f>
        <v>跳转</v>
      </c>
      <c r="E343" s="67" t="s">
        <v>547</v>
      </c>
      <c r="F343" s="43"/>
    </row>
    <row r="344" spans="1:6" ht="19.2">
      <c r="A344" s="78"/>
      <c r="B344" s="47" t="s">
        <v>47</v>
      </c>
      <c r="C344" s="61" t="s">
        <v>548</v>
      </c>
      <c r="D344" s="82"/>
      <c r="E344" s="66"/>
      <c r="F344" s="51"/>
    </row>
    <row r="345" spans="1:6" ht="19.2">
      <c r="A345" s="78"/>
      <c r="B345" s="48"/>
      <c r="C345" s="63" t="s">
        <v>967</v>
      </c>
      <c r="D345" s="42" t="str">
        <f>HYPERLINK("#贷款部分!A300","跳转")</f>
        <v>跳转</v>
      </c>
      <c r="E345" s="67" t="s">
        <v>549</v>
      </c>
      <c r="F345" s="43"/>
    </row>
    <row r="346" spans="1:6" ht="19.2">
      <c r="A346" s="78"/>
      <c r="B346" s="47"/>
      <c r="C346" s="61" t="s">
        <v>807</v>
      </c>
      <c r="D346" s="52" t="str">
        <f>HYPERLINK("#贷款部分!A400","跳转")</f>
        <v>跳转</v>
      </c>
      <c r="E346" s="66" t="s">
        <v>550</v>
      </c>
      <c r="F346" s="51"/>
    </row>
    <row r="347" spans="1:6" ht="19.2">
      <c r="A347" s="78"/>
      <c r="B347" s="48"/>
      <c r="C347" s="63" t="s">
        <v>988</v>
      </c>
      <c r="D347" s="42" t="str">
        <f>HYPERLINK("#贷款部分!A500","跳转")</f>
        <v>跳转</v>
      </c>
      <c r="E347" s="67" t="s">
        <v>551</v>
      </c>
      <c r="F347" s="43"/>
    </row>
    <row r="348" spans="1:6" ht="19.2">
      <c r="A348" s="78"/>
      <c r="B348" s="47" t="s">
        <v>51</v>
      </c>
      <c r="C348" s="61" t="s">
        <v>552</v>
      </c>
      <c r="D348" s="82"/>
      <c r="E348" s="66"/>
      <c r="F348" s="51"/>
    </row>
    <row r="349" spans="1:6" ht="19.2">
      <c r="A349" s="78"/>
      <c r="B349" s="48"/>
      <c r="C349" s="63" t="s">
        <v>1090</v>
      </c>
      <c r="D349" s="42" t="str">
        <f>HYPERLINK("#贷款部分!A600","跳转")</f>
        <v>跳转</v>
      </c>
      <c r="E349" s="67" t="s">
        <v>553</v>
      </c>
      <c r="F349" s="43"/>
    </row>
    <row r="350" spans="1:6" ht="19.2">
      <c r="A350" s="78"/>
      <c r="B350" s="47" t="s">
        <v>55</v>
      </c>
      <c r="C350" s="61" t="s">
        <v>554</v>
      </c>
      <c r="D350" s="82"/>
      <c r="E350" s="66"/>
      <c r="F350" s="51"/>
    </row>
    <row r="351" spans="1:6" ht="19.2">
      <c r="A351" s="78"/>
      <c r="B351" s="48"/>
      <c r="C351" s="63" t="s">
        <v>896</v>
      </c>
      <c r="D351" s="42" t="str">
        <f>HYPERLINK("#贷储利率类!A1","跳转")</f>
        <v>跳转</v>
      </c>
      <c r="E351" s="67" t="s">
        <v>555</v>
      </c>
      <c r="F351" s="43"/>
    </row>
    <row r="352" spans="1:6" ht="19.2">
      <c r="A352" s="78"/>
      <c r="B352" s="47"/>
      <c r="C352" s="61" t="s">
        <v>898</v>
      </c>
      <c r="D352" s="52" t="str">
        <f>HYPERLINK("#贷储利率类!A100","跳转")</f>
        <v>跳转</v>
      </c>
      <c r="E352" s="66" t="s">
        <v>556</v>
      </c>
      <c r="F352" s="51"/>
    </row>
    <row r="353" spans="1:6" ht="19.2">
      <c r="A353" s="78"/>
      <c r="B353" s="48" t="s">
        <v>61</v>
      </c>
      <c r="C353" s="63" t="s">
        <v>557</v>
      </c>
      <c r="D353" s="80"/>
      <c r="E353" s="67"/>
      <c r="F353" s="43"/>
    </row>
    <row r="354" spans="1:6" ht="19.2">
      <c r="A354" s="78"/>
      <c r="B354" s="47"/>
      <c r="C354" s="61" t="s">
        <v>1048</v>
      </c>
      <c r="D354" s="52" t="str">
        <f>HYPERLINK("#贷储利率类!A200","跳转")</f>
        <v>跳转</v>
      </c>
      <c r="E354" s="66" t="s">
        <v>558</v>
      </c>
      <c r="F354" s="51"/>
    </row>
    <row r="355" spans="1:6" ht="19.2">
      <c r="A355" s="78"/>
      <c r="B355" s="48" t="s">
        <v>67</v>
      </c>
      <c r="C355" s="63" t="s">
        <v>559</v>
      </c>
      <c r="D355" s="80"/>
      <c r="E355" s="67"/>
      <c r="F355" s="43"/>
    </row>
    <row r="356" spans="1:6" ht="19.2">
      <c r="A356" s="78"/>
      <c r="B356" s="47"/>
      <c r="C356" s="61" t="s">
        <v>1100</v>
      </c>
      <c r="D356" s="52" t="str">
        <f>HYPERLINK("#贷储利率类!A300","跳转")</f>
        <v>跳转</v>
      </c>
      <c r="E356" s="66" t="s">
        <v>559</v>
      </c>
      <c r="F356" s="51"/>
    </row>
    <row r="357" spans="1:6" ht="19.2">
      <c r="A357" s="78"/>
      <c r="B357" s="48" t="s">
        <v>73</v>
      </c>
      <c r="C357" s="63" t="s">
        <v>560</v>
      </c>
      <c r="D357" s="80"/>
      <c r="E357" s="67"/>
      <c r="F357" s="43"/>
    </row>
    <row r="358" spans="1:6" ht="19.2">
      <c r="A358" s="78"/>
      <c r="B358" s="47"/>
      <c r="C358" s="61" t="s">
        <v>561</v>
      </c>
      <c r="D358" s="52" t="str">
        <f>HYPERLINK("#贷储利率类!A400","跳转")</f>
        <v>跳转</v>
      </c>
      <c r="E358" s="66" t="s">
        <v>562</v>
      </c>
      <c r="F358" s="51"/>
    </row>
    <row r="359" spans="1:6" ht="19.2">
      <c r="A359" s="78"/>
      <c r="B359" s="48"/>
      <c r="C359" s="63" t="s">
        <v>1041</v>
      </c>
      <c r="D359" s="42" t="str">
        <f>HYPERLINK("#贷储利率类!A500","跳转")</f>
        <v>跳转</v>
      </c>
      <c r="E359" s="67" t="s">
        <v>563</v>
      </c>
      <c r="F359" s="43"/>
    </row>
    <row r="360" spans="1:6" ht="19.2">
      <c r="A360" s="78"/>
      <c r="B360" s="47" t="s">
        <v>151</v>
      </c>
      <c r="C360" s="61" t="s">
        <v>564</v>
      </c>
      <c r="D360" s="82"/>
      <c r="E360" s="66"/>
      <c r="F360" s="51"/>
    </row>
    <row r="361" spans="1:6" ht="19.2">
      <c r="A361" s="78"/>
      <c r="B361" s="48"/>
      <c r="C361" s="63" t="s">
        <v>1050</v>
      </c>
      <c r="D361" s="42" t="str">
        <f>HYPERLINK("#贷储利率类!A600","跳转")</f>
        <v>跳转</v>
      </c>
      <c r="E361" s="67" t="s">
        <v>565</v>
      </c>
      <c r="F361" s="43"/>
    </row>
    <row r="362" spans="1:6" ht="19.2">
      <c r="A362" s="78"/>
      <c r="B362" s="47"/>
      <c r="C362" s="61" t="s">
        <v>1198</v>
      </c>
      <c r="D362" s="52" t="str">
        <f>HYPERLINK("#贷储利率类!A700","跳转")</f>
        <v>跳转</v>
      </c>
      <c r="E362" s="66" t="s">
        <v>566</v>
      </c>
      <c r="F362" s="51"/>
    </row>
    <row r="363" spans="1:6" ht="19.2">
      <c r="A363" s="78"/>
      <c r="B363" s="48" t="s">
        <v>163</v>
      </c>
      <c r="C363" s="63" t="s">
        <v>567</v>
      </c>
      <c r="D363" s="80"/>
      <c r="E363" s="67"/>
      <c r="F363" s="43"/>
    </row>
    <row r="364" spans="1:6" ht="19.2">
      <c r="A364" s="78"/>
      <c r="B364" s="47"/>
      <c r="C364" s="61" t="s">
        <v>969</v>
      </c>
      <c r="D364" s="52" t="str">
        <f>HYPERLINK("#内部利益率!A1","跳转")</f>
        <v>跳转</v>
      </c>
      <c r="E364" s="66" t="s">
        <v>568</v>
      </c>
      <c r="F364" s="51"/>
    </row>
    <row r="365" spans="1:6" ht="19.2">
      <c r="A365" s="78"/>
      <c r="B365" s="48"/>
      <c r="C365" s="63" t="s">
        <v>1196</v>
      </c>
      <c r="D365" s="42" t="str">
        <f>HYPERLINK("#内部利益率!A100","跳转")</f>
        <v>跳转</v>
      </c>
      <c r="E365" s="67" t="s">
        <v>569</v>
      </c>
      <c r="F365" s="43"/>
    </row>
    <row r="366" spans="1:6" ht="19.2">
      <c r="A366" s="78"/>
      <c r="B366" s="47"/>
      <c r="C366" s="61" t="s">
        <v>1026</v>
      </c>
      <c r="D366" s="52" t="str">
        <f>HYPERLINK("#内部利益率!A200","跳转")</f>
        <v>跳转</v>
      </c>
      <c r="E366" s="66" t="s">
        <v>570</v>
      </c>
      <c r="F366" s="51"/>
    </row>
    <row r="367" spans="1:6" ht="19.2">
      <c r="A367" s="78"/>
      <c r="B367" s="48" t="s">
        <v>166</v>
      </c>
      <c r="C367" s="63" t="s">
        <v>571</v>
      </c>
      <c r="D367" s="80"/>
      <c r="E367" s="67"/>
      <c r="F367" s="43"/>
    </row>
    <row r="368" spans="1:6" ht="19.2">
      <c r="A368" s="78"/>
      <c r="B368" s="47"/>
      <c r="C368" s="61" t="s">
        <v>1203</v>
      </c>
      <c r="D368" s="52" t="str">
        <f>HYPERLINK("#定期付息证券!A1","跳转")</f>
        <v>跳转</v>
      </c>
      <c r="E368" s="66" t="s">
        <v>572</v>
      </c>
      <c r="F368" s="51"/>
    </row>
    <row r="369" spans="1:6" ht="19.2">
      <c r="A369" s="78"/>
      <c r="B369" s="48"/>
      <c r="C369" s="63" t="s">
        <v>1080</v>
      </c>
      <c r="D369" s="42" t="str">
        <f>HYPERLINK("#定期付息证券!A100","跳转")</f>
        <v>跳转</v>
      </c>
      <c r="E369" s="67" t="s">
        <v>573</v>
      </c>
      <c r="F369" s="43"/>
    </row>
    <row r="370" spans="1:6" ht="19.2">
      <c r="A370" s="78"/>
      <c r="B370" s="47"/>
      <c r="C370" s="61" t="s">
        <v>722</v>
      </c>
      <c r="D370" s="52" t="str">
        <f>HYPERLINK("#定期付息证券!A200","跳转")</f>
        <v>跳转</v>
      </c>
      <c r="E370" s="66" t="s">
        <v>574</v>
      </c>
      <c r="F370" s="51"/>
    </row>
    <row r="371" spans="1:6" ht="19.2">
      <c r="A371" s="78"/>
      <c r="B371" s="48" t="s">
        <v>575</v>
      </c>
      <c r="C371" s="63" t="s">
        <v>576</v>
      </c>
      <c r="D371" s="80"/>
      <c r="E371" s="67"/>
      <c r="F371" s="43"/>
    </row>
    <row r="372" spans="1:6" ht="19.2">
      <c r="A372" s="78"/>
      <c r="B372" s="47"/>
      <c r="C372" s="61" t="s">
        <v>801</v>
      </c>
      <c r="D372" s="52" t="str">
        <f>HYPERLINK("#定期付息证券的日期信息!A1","跳转")</f>
        <v>跳转</v>
      </c>
      <c r="E372" s="66" t="s">
        <v>577</v>
      </c>
      <c r="F372" s="51"/>
    </row>
    <row r="373" spans="1:6" ht="19.2">
      <c r="A373" s="78"/>
      <c r="B373" s="48"/>
      <c r="C373" s="67" t="s">
        <v>578</v>
      </c>
      <c r="D373" s="42" t="str">
        <f>HYPERLINK("#定期付息证券的日期信息!A100","跳转")</f>
        <v>跳转</v>
      </c>
      <c r="E373" s="67" t="s">
        <v>577</v>
      </c>
      <c r="F373" s="43"/>
    </row>
    <row r="374" spans="1:6" ht="19.2">
      <c r="A374" s="78"/>
      <c r="B374" s="47"/>
      <c r="C374" s="61" t="s">
        <v>793</v>
      </c>
      <c r="D374" s="52" t="str">
        <f>HYPERLINK("#定期付息证券的日期信息!A200","跳转")</f>
        <v>跳转</v>
      </c>
      <c r="E374" s="66" t="s">
        <v>579</v>
      </c>
      <c r="F374" s="51"/>
    </row>
    <row r="375" spans="1:6" ht="19.2">
      <c r="A375" s="78"/>
      <c r="B375" s="48"/>
      <c r="C375" s="67" t="s">
        <v>580</v>
      </c>
      <c r="D375" s="42" t="str">
        <f>HYPERLINK("#定期付息证券的日期信息!A300","跳转")</f>
        <v>跳转</v>
      </c>
      <c r="E375" s="67" t="s">
        <v>581</v>
      </c>
      <c r="F375" s="43"/>
    </row>
    <row r="376" spans="1:6" ht="19.2">
      <c r="A376" s="78"/>
      <c r="B376" s="47"/>
      <c r="C376" s="61" t="s">
        <v>795</v>
      </c>
      <c r="D376" s="52" t="str">
        <f>HYPERLINK("#定期付息证券的日期信息!A400","跳转")</f>
        <v>跳转</v>
      </c>
      <c r="E376" s="66" t="s">
        <v>582</v>
      </c>
      <c r="F376" s="51"/>
    </row>
    <row r="377" spans="1:6" ht="19.2">
      <c r="A377" s="78"/>
      <c r="B377" s="48"/>
      <c r="C377" s="63" t="s">
        <v>799</v>
      </c>
      <c r="D377" s="42" t="str">
        <f>HYPERLINK("#定期付息证券的日期信息!A500","跳转")</f>
        <v>跳转</v>
      </c>
      <c r="E377" s="67" t="s">
        <v>583</v>
      </c>
      <c r="F377" s="43"/>
    </row>
    <row r="378" spans="1:6" ht="19.2">
      <c r="A378" s="78"/>
      <c r="B378" s="47" t="s">
        <v>584</v>
      </c>
      <c r="C378" s="61" t="s">
        <v>585</v>
      </c>
      <c r="D378" s="82"/>
      <c r="E378" s="66"/>
      <c r="F378" s="51"/>
    </row>
    <row r="379" spans="1:6" ht="19.2">
      <c r="A379" s="78"/>
      <c r="B379" s="48"/>
      <c r="C379" s="63" t="s">
        <v>855</v>
      </c>
      <c r="D379" s="42" t="str">
        <f>HYPERLINK("#定期付息证券的修正期限!A1","跳转")</f>
        <v>跳转</v>
      </c>
      <c r="E379" s="67" t="s">
        <v>585</v>
      </c>
      <c r="F379" s="43"/>
    </row>
    <row r="380" spans="1:6" ht="19.2">
      <c r="A380" s="78"/>
      <c r="B380" s="47"/>
      <c r="C380" s="61" t="s">
        <v>1018</v>
      </c>
      <c r="D380" s="52" t="str">
        <f>HYPERLINK("#定期付息证券的修正期限!A100","跳转")</f>
        <v>跳转</v>
      </c>
      <c r="E380" s="66" t="s">
        <v>585</v>
      </c>
      <c r="F380" s="51"/>
    </row>
    <row r="381" spans="1:6" ht="19.2">
      <c r="A381" s="78"/>
      <c r="B381" s="48" t="s">
        <v>185</v>
      </c>
      <c r="C381" s="63" t="s">
        <v>5798</v>
      </c>
      <c r="D381" s="80"/>
      <c r="E381" s="67"/>
      <c r="F381" s="43"/>
    </row>
    <row r="382" spans="1:6" ht="19.2">
      <c r="A382" s="78"/>
      <c r="B382" s="47"/>
      <c r="C382" s="61" t="s">
        <v>1060</v>
      </c>
      <c r="D382" s="52" t="str">
        <f>HYPERLINK("#期间不定的定期付息证券!A1","跳转")</f>
        <v>跳转</v>
      </c>
      <c r="E382" s="66" t="s">
        <v>586</v>
      </c>
      <c r="F382" s="51"/>
    </row>
    <row r="383" spans="1:6" ht="19.2">
      <c r="A383" s="78"/>
      <c r="B383" s="48"/>
      <c r="C383" s="63" t="s">
        <v>587</v>
      </c>
      <c r="D383" s="42" t="str">
        <f>HYPERLINK("#期间不定的定期付息证券!A100","跳转")</f>
        <v>跳转</v>
      </c>
      <c r="E383" s="67" t="s">
        <v>588</v>
      </c>
      <c r="F383" s="43"/>
    </row>
    <row r="384" spans="1:6" ht="19.2">
      <c r="A384" s="78"/>
      <c r="B384" s="47" t="s">
        <v>189</v>
      </c>
      <c r="C384" s="61" t="s">
        <v>5799</v>
      </c>
      <c r="D384" s="82"/>
      <c r="E384" s="66"/>
      <c r="F384" s="51"/>
    </row>
    <row r="385" spans="1:6" ht="19.2">
      <c r="A385" s="78"/>
      <c r="B385" s="48"/>
      <c r="C385" s="63" t="s">
        <v>1063</v>
      </c>
      <c r="D385" s="42" t="str">
        <f>HYPERLINK("#期间不定的定期付息证券!A200","跳转")</f>
        <v>跳转</v>
      </c>
      <c r="E385" s="67" t="s">
        <v>589</v>
      </c>
      <c r="F385" s="43"/>
    </row>
    <row r="386" spans="1:6" ht="19.2">
      <c r="A386" s="78"/>
      <c r="B386" s="47"/>
      <c r="C386" s="61" t="s">
        <v>590</v>
      </c>
      <c r="D386" s="52" t="str">
        <f>HYPERLINK("#期间不定的定期付息证券!A300","跳转")</f>
        <v>跳转</v>
      </c>
      <c r="E386" s="66" t="s">
        <v>591</v>
      </c>
      <c r="F386" s="51"/>
    </row>
    <row r="387" spans="1:6" ht="19.2">
      <c r="A387" s="78"/>
      <c r="B387" s="48" t="s">
        <v>195</v>
      </c>
      <c r="C387" s="63" t="s">
        <v>592</v>
      </c>
      <c r="D387" s="80"/>
      <c r="E387" s="67"/>
      <c r="F387" s="43"/>
    </row>
    <row r="388" spans="1:6" ht="19.2">
      <c r="A388" s="78"/>
      <c r="B388" s="47"/>
      <c r="C388" s="61" t="s">
        <v>593</v>
      </c>
      <c r="D388" s="52" t="str">
        <f>HYPERLINK("#到期付息证券!A1","跳转")</f>
        <v>跳转</v>
      </c>
      <c r="E388" s="66" t="s">
        <v>594</v>
      </c>
      <c r="F388" s="51"/>
    </row>
    <row r="389" spans="1:6" ht="19.2">
      <c r="A389" s="78"/>
      <c r="B389" s="48"/>
      <c r="C389" s="63" t="s">
        <v>1084</v>
      </c>
      <c r="D389" s="42" t="str">
        <f>HYPERLINK("#到期付息证券!A100","跳转")</f>
        <v>跳转</v>
      </c>
      <c r="E389" s="67" t="s">
        <v>595</v>
      </c>
      <c r="F389" s="43"/>
    </row>
    <row r="390" spans="1:6" ht="19.2">
      <c r="A390" s="78"/>
      <c r="B390" s="47"/>
      <c r="C390" s="61" t="s">
        <v>724</v>
      </c>
      <c r="D390" s="52" t="str">
        <f>HYPERLINK("#到期付息证券!A200","跳转")</f>
        <v>跳转</v>
      </c>
      <c r="E390" s="66" t="s">
        <v>596</v>
      </c>
      <c r="F390" s="51"/>
    </row>
    <row r="391" spans="1:6" ht="19.2">
      <c r="A391" s="78"/>
      <c r="B391" s="48" t="s">
        <v>203</v>
      </c>
      <c r="C391" s="63" t="s">
        <v>597</v>
      </c>
      <c r="D391" s="80"/>
      <c r="E391" s="67"/>
      <c r="F391" s="43"/>
    </row>
    <row r="392" spans="1:6" ht="19.2">
      <c r="A392" s="78"/>
      <c r="B392" s="47"/>
      <c r="C392" s="61" t="s">
        <v>1205</v>
      </c>
      <c r="D392" s="52" t="str">
        <f>HYPERLINK("#折价证券!A1","跳转")</f>
        <v>跳转</v>
      </c>
      <c r="E392" s="66" t="s">
        <v>598</v>
      </c>
      <c r="F392" s="51"/>
    </row>
    <row r="393" spans="1:6" ht="19.2">
      <c r="A393" s="78"/>
      <c r="B393" s="48"/>
      <c r="C393" s="63" t="s">
        <v>599</v>
      </c>
      <c r="D393" s="42" t="str">
        <f>HYPERLINK("#折价证券!A100","跳转")</f>
        <v>跳转</v>
      </c>
      <c r="E393" s="67" t="s">
        <v>598</v>
      </c>
      <c r="F393" s="43"/>
    </row>
    <row r="394" spans="1:6" ht="19.2">
      <c r="A394" s="78"/>
      <c r="B394" s="47"/>
      <c r="C394" s="61" t="s">
        <v>1102</v>
      </c>
      <c r="D394" s="52" t="str">
        <f>HYPERLINK("#折价证券!A200","跳转")</f>
        <v>跳转</v>
      </c>
      <c r="E394" s="66" t="s">
        <v>600</v>
      </c>
      <c r="F394" s="51"/>
    </row>
    <row r="395" spans="1:6" ht="19.2">
      <c r="A395" s="78"/>
      <c r="B395" s="48"/>
      <c r="C395" s="63" t="s">
        <v>1082</v>
      </c>
      <c r="D395" s="42" t="str">
        <f>HYPERLINK("#折价证券!A300","跳转")</f>
        <v>跳转</v>
      </c>
      <c r="E395" s="67" t="s">
        <v>601</v>
      </c>
      <c r="F395" s="43"/>
    </row>
    <row r="396" spans="1:6" ht="19.2">
      <c r="A396" s="78"/>
      <c r="B396" s="47"/>
      <c r="C396" s="61" t="s">
        <v>837</v>
      </c>
      <c r="D396" s="52" t="str">
        <f>HYPERLINK("#折价证券!A400","跳转")</f>
        <v>跳转</v>
      </c>
      <c r="E396" s="66" t="s">
        <v>602</v>
      </c>
      <c r="F396" s="51"/>
    </row>
    <row r="397" spans="1:6" ht="19.2">
      <c r="A397" s="78"/>
      <c r="B397" s="48" t="s">
        <v>213</v>
      </c>
      <c r="C397" s="63" t="s">
        <v>603</v>
      </c>
      <c r="D397" s="80"/>
      <c r="E397" s="67"/>
      <c r="F397" s="43"/>
    </row>
    <row r="398" spans="1:6" ht="19.2">
      <c r="A398" s="78"/>
      <c r="B398" s="47"/>
      <c r="C398" s="61" t="s">
        <v>1159</v>
      </c>
      <c r="D398" s="52" t="str">
        <f>HYPERLINK("#美国财务省的短期证券!A1","跳转")</f>
        <v>跳转</v>
      </c>
      <c r="E398" s="66" t="s">
        <v>604</v>
      </c>
      <c r="F398" s="51"/>
    </row>
    <row r="399" spans="1:6" ht="19.2">
      <c r="A399" s="78"/>
      <c r="B399" s="48"/>
      <c r="C399" s="63" t="s">
        <v>1155</v>
      </c>
      <c r="D399" s="42" t="str">
        <f>HYPERLINK("#美国财务省的短期证券!A100","跳转")</f>
        <v>跳转</v>
      </c>
      <c r="E399" s="67" t="s">
        <v>605</v>
      </c>
      <c r="F399" s="43"/>
    </row>
    <row r="400" spans="1:6" ht="19.2">
      <c r="A400" s="78"/>
      <c r="B400" s="47"/>
      <c r="C400" s="61" t="s">
        <v>1157</v>
      </c>
      <c r="D400" s="52" t="str">
        <f>HYPERLINK("#美国财务省的短期证券!A200","跳转")</f>
        <v>跳转</v>
      </c>
      <c r="E400" s="66" t="s">
        <v>606</v>
      </c>
      <c r="F400" s="51"/>
    </row>
    <row r="401" spans="1:6" ht="19.2">
      <c r="A401" s="78"/>
      <c r="B401" s="48" t="s">
        <v>221</v>
      </c>
      <c r="C401" s="63" t="s">
        <v>607</v>
      </c>
      <c r="D401" s="80"/>
      <c r="E401" s="67"/>
      <c r="F401" s="43"/>
    </row>
    <row r="402" spans="1:6" ht="19.2">
      <c r="A402" s="78"/>
      <c r="B402" s="47"/>
      <c r="C402" s="61" t="s">
        <v>844</v>
      </c>
      <c r="D402" s="52" t="str">
        <f>HYPERLINK("#美元价格表示式!A1","跳转")</f>
        <v>跳转</v>
      </c>
      <c r="E402" s="66" t="s">
        <v>608</v>
      </c>
      <c r="F402" s="51"/>
    </row>
    <row r="403" spans="1:6" ht="19.2">
      <c r="A403" s="78"/>
      <c r="B403" s="48"/>
      <c r="C403" s="63" t="s">
        <v>609</v>
      </c>
      <c r="D403" s="42" t="str">
        <f>HYPERLINK("#美元价格表示式!A100","跳转")</f>
        <v>跳转</v>
      </c>
      <c r="E403" s="67" t="s">
        <v>610</v>
      </c>
      <c r="F403" s="43"/>
    </row>
    <row r="404" spans="1:6" ht="19.2">
      <c r="A404" s="78"/>
      <c r="B404" s="47" t="s">
        <v>229</v>
      </c>
      <c r="C404" s="61" t="s">
        <v>611</v>
      </c>
      <c r="D404" s="82"/>
      <c r="E404" s="66"/>
      <c r="F404" s="51"/>
    </row>
    <row r="405" spans="1:6" ht="19.2">
      <c r="A405" s="78"/>
      <c r="B405" s="48"/>
      <c r="C405" s="63" t="s">
        <v>1128</v>
      </c>
      <c r="D405" s="42" t="str">
        <f>HYPERLINK("#计算折旧费!A1","跳转")</f>
        <v>跳转</v>
      </c>
      <c r="E405" s="67" t="s">
        <v>611</v>
      </c>
      <c r="F405" s="43"/>
    </row>
    <row r="406" spans="1:6" ht="19.2">
      <c r="A406" s="78"/>
      <c r="B406" s="47" t="s">
        <v>237</v>
      </c>
      <c r="C406" s="61" t="s">
        <v>612</v>
      </c>
      <c r="D406" s="82"/>
      <c r="E406" s="66"/>
      <c r="F406" s="51"/>
    </row>
    <row r="407" spans="1:6" ht="19.2">
      <c r="A407" s="78"/>
      <c r="B407" s="48"/>
      <c r="C407" s="63" t="s">
        <v>819</v>
      </c>
      <c r="D407" s="42" t="str">
        <f>HYPERLINK("#计算折旧费!A100","跳转")</f>
        <v>跳转</v>
      </c>
      <c r="E407" s="67" t="s">
        <v>612</v>
      </c>
      <c r="F407" s="43"/>
    </row>
    <row r="408" spans="1:6" ht="19.2">
      <c r="A408" s="78"/>
      <c r="B408" s="47" t="s">
        <v>507</v>
      </c>
      <c r="C408" s="61" t="s">
        <v>613</v>
      </c>
      <c r="D408" s="82"/>
      <c r="E408" s="66"/>
      <c r="F408" s="51"/>
    </row>
    <row r="409" spans="1:6" ht="19.2">
      <c r="A409" s="78"/>
      <c r="B409" s="48"/>
      <c r="C409" s="63" t="s">
        <v>825</v>
      </c>
      <c r="D409" s="42" t="str">
        <f>HYPERLINK("#计算折旧费!A200","跳转")</f>
        <v>跳转</v>
      </c>
      <c r="E409" s="67" t="s">
        <v>613</v>
      </c>
      <c r="F409" s="43"/>
    </row>
    <row r="410" spans="1:6" ht="19.2">
      <c r="A410" s="78"/>
      <c r="B410" s="47"/>
      <c r="C410" s="61" t="s">
        <v>1186</v>
      </c>
      <c r="D410" s="52" t="str">
        <f>HYPERLINK("#计算折旧费!A300","跳转")</f>
        <v>跳转</v>
      </c>
      <c r="E410" s="66" t="s">
        <v>614</v>
      </c>
      <c r="F410" s="51"/>
    </row>
    <row r="411" spans="1:6" ht="19.2">
      <c r="A411" s="78"/>
      <c r="B411" s="48" t="s">
        <v>510</v>
      </c>
      <c r="C411" s="63" t="s">
        <v>615</v>
      </c>
      <c r="D411" s="80"/>
      <c r="E411" s="67"/>
      <c r="F411" s="43"/>
    </row>
    <row r="412" spans="1:6" ht="19.2">
      <c r="A412" s="78"/>
      <c r="B412" s="47"/>
      <c r="C412" s="61" t="s">
        <v>1149</v>
      </c>
      <c r="D412" s="52" t="str">
        <f>HYPERLINK("#计算折旧费!A400","跳转")</f>
        <v>跳转</v>
      </c>
      <c r="E412" s="66" t="s">
        <v>615</v>
      </c>
      <c r="F412" s="51"/>
    </row>
    <row r="413" spans="1:6" ht="19.2">
      <c r="A413" s="78"/>
      <c r="B413" s="48" t="s">
        <v>515</v>
      </c>
      <c r="C413" s="63" t="s">
        <v>616</v>
      </c>
      <c r="D413" s="80"/>
      <c r="E413" s="67"/>
      <c r="F413" s="43"/>
    </row>
    <row r="414" spans="1:6" ht="19.2">
      <c r="A414" s="78"/>
      <c r="B414" s="47"/>
      <c r="C414" s="61" t="s">
        <v>730</v>
      </c>
      <c r="D414" s="52" t="str">
        <f>HYPERLINK("#计算折旧费!A500","跳转")</f>
        <v>跳转</v>
      </c>
      <c r="E414" s="66" t="s">
        <v>617</v>
      </c>
      <c r="F414" s="51"/>
    </row>
    <row r="415" spans="1:6" ht="19.2">
      <c r="A415" s="78"/>
      <c r="B415" s="48"/>
      <c r="C415" s="63" t="s">
        <v>729</v>
      </c>
      <c r="D415" s="42" t="str">
        <f>HYPERLINK("#计算折旧费!A600","跳转")</f>
        <v>跳转</v>
      </c>
      <c r="E415" s="67" t="s">
        <v>617</v>
      </c>
      <c r="F415" s="43"/>
    </row>
    <row r="416" spans="1:6" ht="22.2">
      <c r="A416" s="29" t="str">
        <f>HYPERLINK("#A2","返回顶行")</f>
        <v>返回顶行</v>
      </c>
      <c r="B416" s="440" t="s">
        <v>22</v>
      </c>
      <c r="C416" s="441"/>
      <c r="D416" s="30" t="s">
        <v>618</v>
      </c>
      <c r="E416" s="84"/>
      <c r="F416" s="51"/>
    </row>
    <row r="417" spans="1:6" ht="19.2">
      <c r="A417" s="78"/>
      <c r="B417" s="48" t="s">
        <v>31</v>
      </c>
      <c r="C417" s="63" t="s">
        <v>619</v>
      </c>
      <c r="D417" s="80"/>
      <c r="E417" s="67"/>
      <c r="F417" s="43"/>
    </row>
    <row r="418" spans="1:6" ht="19.2">
      <c r="A418" s="78"/>
      <c r="B418" s="47"/>
      <c r="C418" s="61"/>
      <c r="D418" s="82"/>
      <c r="E418" s="66"/>
      <c r="F418" s="51"/>
    </row>
    <row r="419" spans="1:6" ht="19.2">
      <c r="A419" s="78"/>
      <c r="B419" s="48"/>
      <c r="C419" s="63" t="s">
        <v>620</v>
      </c>
      <c r="D419" s="42" t="str">
        <f>HYPERLINK("#交换数值的进制标记!A1","跳转")</f>
        <v>跳转</v>
      </c>
      <c r="E419" s="67" t="s">
        <v>621</v>
      </c>
      <c r="F419" s="43"/>
    </row>
    <row r="420" spans="1:6" ht="19.2">
      <c r="A420" s="78"/>
      <c r="B420" s="47"/>
      <c r="C420" s="61" t="s">
        <v>754</v>
      </c>
      <c r="D420" s="52" t="str">
        <f>HYPERLINK("#交换数值的进制标记!A100","跳转")</f>
        <v>跳转</v>
      </c>
      <c r="E420" s="66" t="s">
        <v>622</v>
      </c>
      <c r="F420" s="51"/>
    </row>
    <row r="421" spans="1:6" ht="19.2">
      <c r="A421" s="78"/>
      <c r="B421" s="48"/>
      <c r="C421" s="63" t="s">
        <v>756</v>
      </c>
      <c r="D421" s="42" t="str">
        <f>HYPERLINK("#交换数值的进制标记!A200","跳转")</f>
        <v>跳转</v>
      </c>
      <c r="E421" s="67" t="s">
        <v>623</v>
      </c>
      <c r="F421" s="43"/>
    </row>
    <row r="422" spans="1:6" ht="19.2">
      <c r="A422" s="78"/>
      <c r="B422" s="47"/>
      <c r="C422" s="61" t="s">
        <v>1053</v>
      </c>
      <c r="D422" s="52" t="str">
        <f>HYPERLINK("#交换数值的进制标记!A300","跳转")</f>
        <v>跳转</v>
      </c>
      <c r="E422" s="66" t="s">
        <v>624</v>
      </c>
      <c r="F422" s="51"/>
    </row>
    <row r="423" spans="1:6" ht="19.2">
      <c r="A423" s="78"/>
      <c r="B423" s="48"/>
      <c r="C423" s="63" t="s">
        <v>1055</v>
      </c>
      <c r="D423" s="42" t="str">
        <f>HYPERLINK("#交换数值的进制标记!A400","跳转")</f>
        <v>跳转</v>
      </c>
      <c r="E423" s="67" t="s">
        <v>625</v>
      </c>
      <c r="F423" s="43"/>
    </row>
    <row r="424" spans="1:6" ht="19.2">
      <c r="A424" s="78"/>
      <c r="B424" s="47"/>
      <c r="C424" s="61" t="s">
        <v>828</v>
      </c>
      <c r="D424" s="52" t="str">
        <f>HYPERLINK("#交换数值的进制标记!A500","跳转")</f>
        <v>跳转</v>
      </c>
      <c r="E424" s="66" t="s">
        <v>626</v>
      </c>
      <c r="F424" s="51"/>
    </row>
    <row r="425" spans="1:6" ht="19.2">
      <c r="A425" s="78"/>
      <c r="B425" s="48"/>
      <c r="C425" s="63" t="s">
        <v>826</v>
      </c>
      <c r="D425" s="42" t="str">
        <f>HYPERLINK("#交换数值的进制标记!A600","跳转")</f>
        <v>跳转</v>
      </c>
      <c r="E425" s="67" t="s">
        <v>627</v>
      </c>
      <c r="F425" s="43"/>
    </row>
    <row r="426" spans="1:6" ht="19.2">
      <c r="A426" s="78"/>
      <c r="B426" s="47"/>
      <c r="C426" s="61" t="s">
        <v>830</v>
      </c>
      <c r="D426" s="52" t="str">
        <f>HYPERLINK("#交换数值的进制标记!A700","跳转")</f>
        <v>跳转</v>
      </c>
      <c r="E426" s="66" t="s">
        <v>628</v>
      </c>
      <c r="F426" s="51"/>
    </row>
    <row r="427" spans="1:6" ht="19.2">
      <c r="A427" s="78"/>
      <c r="B427" s="48"/>
      <c r="C427" s="63" t="s">
        <v>828</v>
      </c>
      <c r="D427" s="42" t="str">
        <f>HYPERLINK("#交换数值的进制标记!A800","跳转")</f>
        <v>跳转</v>
      </c>
      <c r="E427" s="67" t="s">
        <v>629</v>
      </c>
      <c r="F427" s="43"/>
    </row>
    <row r="428" spans="1:6" ht="19.2">
      <c r="A428" s="78"/>
      <c r="B428" s="47"/>
      <c r="C428" s="61" t="s">
        <v>914</v>
      </c>
      <c r="D428" s="52" t="str">
        <f>HYPERLINK("#交换数值的进制标记!A900","跳转")</f>
        <v>跳转</v>
      </c>
      <c r="E428" s="66" t="s">
        <v>630</v>
      </c>
      <c r="F428" s="51"/>
    </row>
    <row r="429" spans="1:6" ht="19.2">
      <c r="A429" s="78"/>
      <c r="B429" s="48"/>
      <c r="C429" s="63" t="s">
        <v>918</v>
      </c>
      <c r="D429" s="42" t="str">
        <f>HYPERLINK("#交换数值的进制标记!A1000","跳转")</f>
        <v>跳转</v>
      </c>
      <c r="E429" s="67" t="s">
        <v>631</v>
      </c>
      <c r="F429" s="43"/>
    </row>
    <row r="430" spans="1:6" ht="19.2">
      <c r="A430" s="78"/>
      <c r="B430" s="47"/>
      <c r="C430" s="61" t="s">
        <v>916</v>
      </c>
      <c r="D430" s="52" t="str">
        <f>HYPERLINK("#交换数值的进制标记!A1100","跳转")</f>
        <v>跳转</v>
      </c>
      <c r="E430" s="66" t="s">
        <v>632</v>
      </c>
      <c r="F430" s="51"/>
    </row>
    <row r="431" spans="1:6" ht="19.2">
      <c r="A431" s="78"/>
      <c r="B431" s="48" t="s">
        <v>39</v>
      </c>
      <c r="C431" s="63" t="s">
        <v>633</v>
      </c>
      <c r="D431" s="80"/>
      <c r="E431" s="67"/>
      <c r="F431" s="43"/>
    </row>
    <row r="432" spans="1:6" ht="19.2">
      <c r="A432" s="78"/>
      <c r="B432" s="47"/>
      <c r="C432" s="61" t="s">
        <v>778</v>
      </c>
      <c r="D432" s="52" t="str">
        <f>HYPERLINK("#构成和分解复数!A1","跳转")</f>
        <v>跳转</v>
      </c>
      <c r="E432" s="66" t="s">
        <v>634</v>
      </c>
      <c r="F432" s="51"/>
    </row>
    <row r="433" spans="1:6" ht="19.2">
      <c r="A433" s="78"/>
      <c r="B433" s="48"/>
      <c r="C433" s="63" t="s">
        <v>951</v>
      </c>
      <c r="D433" s="42" t="str">
        <f>HYPERLINK("#构成和分解复数!A100","跳转")</f>
        <v>跳转</v>
      </c>
      <c r="E433" s="67" t="s">
        <v>635</v>
      </c>
      <c r="F433" s="43"/>
    </row>
    <row r="434" spans="1:6" ht="19.2">
      <c r="A434" s="78"/>
      <c r="B434" s="47"/>
      <c r="C434" s="61" t="s">
        <v>929</v>
      </c>
      <c r="D434" s="52" t="str">
        <f>HYPERLINK("#构成和分解复数!A200","跳转")</f>
        <v>跳转</v>
      </c>
      <c r="E434" s="66" t="s">
        <v>636</v>
      </c>
      <c r="F434" s="51"/>
    </row>
    <row r="435" spans="1:6" ht="19.2">
      <c r="A435" s="78"/>
      <c r="B435" s="48"/>
      <c r="C435" s="63" t="s">
        <v>933</v>
      </c>
      <c r="D435" s="42" t="str">
        <f>HYPERLINK("#构成和分解复数!A300","跳转")</f>
        <v>跳转</v>
      </c>
      <c r="E435" s="67" t="s">
        <v>637</v>
      </c>
      <c r="F435" s="43"/>
    </row>
    <row r="436" spans="1:6" ht="19.2">
      <c r="A436" s="78"/>
      <c r="B436" s="47" t="s">
        <v>47</v>
      </c>
      <c r="C436" s="61" t="s">
        <v>638</v>
      </c>
      <c r="D436" s="82"/>
      <c r="E436" s="66"/>
      <c r="F436" s="51"/>
    </row>
    <row r="437" spans="1:6" ht="19.2">
      <c r="A437" s="78"/>
      <c r="B437" s="48"/>
      <c r="C437" s="63" t="s">
        <v>927</v>
      </c>
      <c r="D437" s="42" t="str">
        <f>HYPERLINK("#复数转换成模形式!A1","跳转")</f>
        <v>跳转</v>
      </c>
      <c r="E437" s="67" t="s">
        <v>639</v>
      </c>
      <c r="F437" s="43"/>
    </row>
    <row r="438" spans="1:6" ht="19.2">
      <c r="A438" s="78"/>
      <c r="B438" s="47"/>
      <c r="C438" s="61" t="s">
        <v>931</v>
      </c>
      <c r="D438" s="52" t="str">
        <f>HYPERLINK("#复数转换成模形式!A100","跳转")</f>
        <v>跳转</v>
      </c>
      <c r="E438" s="66" t="s">
        <v>640</v>
      </c>
      <c r="F438" s="51"/>
    </row>
    <row r="439" spans="1:6" ht="19.2">
      <c r="A439" s="78"/>
      <c r="B439" s="48" t="s">
        <v>51</v>
      </c>
      <c r="C439" s="63" t="s">
        <v>641</v>
      </c>
      <c r="D439" s="80"/>
      <c r="E439" s="67"/>
      <c r="F439" s="43"/>
    </row>
    <row r="440" spans="1:6" ht="19.2">
      <c r="A440" s="78"/>
      <c r="B440" s="47"/>
      <c r="C440" s="61" t="s">
        <v>957</v>
      </c>
      <c r="D440" s="52" t="str">
        <f>HYPERLINK("#进行复数的四则运算!A1","跳转")</f>
        <v>跳转</v>
      </c>
      <c r="E440" s="66" t="s">
        <v>642</v>
      </c>
      <c r="F440" s="51"/>
    </row>
    <row r="441" spans="1:6" ht="19.2">
      <c r="A441" s="78"/>
      <c r="B441" s="48"/>
      <c r="C441" s="63" t="s">
        <v>5095</v>
      </c>
      <c r="D441" s="42" t="str">
        <f>HYPERLINK("#进行复数的四则运算!A100","跳转")</f>
        <v>跳转</v>
      </c>
      <c r="E441" s="67" t="s">
        <v>643</v>
      </c>
      <c r="F441" s="43"/>
    </row>
    <row r="442" spans="1:6" ht="19.2">
      <c r="A442" s="78"/>
      <c r="B442" s="47"/>
      <c r="C442" s="61" t="s">
        <v>949</v>
      </c>
      <c r="D442" s="52" t="str">
        <f>HYPERLINK("#进行复数的四则运算!A200","跳转")</f>
        <v>跳转</v>
      </c>
      <c r="E442" s="66" t="s">
        <v>644</v>
      </c>
      <c r="F442" s="51"/>
    </row>
    <row r="443" spans="1:6" ht="19.2">
      <c r="A443" s="78"/>
      <c r="B443" s="48"/>
      <c r="C443" s="63" t="s">
        <v>937</v>
      </c>
      <c r="D443" s="42" t="str">
        <f>HYPERLINK("#进行复数的四则运算!A300","跳转")</f>
        <v>跳转</v>
      </c>
      <c r="E443" s="67" t="s">
        <v>645</v>
      </c>
      <c r="F443" s="43"/>
    </row>
    <row r="444" spans="1:6" ht="19.2">
      <c r="A444" s="78"/>
      <c r="B444" s="47" t="s">
        <v>55</v>
      </c>
      <c r="C444" s="61" t="s">
        <v>646</v>
      </c>
      <c r="D444" s="82"/>
      <c r="E444" s="66"/>
      <c r="F444" s="51"/>
    </row>
    <row r="445" spans="1:6" ht="19.2">
      <c r="A445" s="78"/>
      <c r="B445" s="48"/>
      <c r="C445" s="63" t="s">
        <v>955</v>
      </c>
      <c r="D445" s="42" t="str">
        <f>HYPERLINK("#复数的平方根与三角函数!A1","跳转")</f>
        <v>跳转</v>
      </c>
      <c r="E445" s="67" t="s">
        <v>646</v>
      </c>
      <c r="F445" s="43"/>
    </row>
    <row r="446" spans="1:6" ht="19.2">
      <c r="A446" s="78"/>
      <c r="B446" s="47" t="s">
        <v>61</v>
      </c>
      <c r="C446" s="61" t="s">
        <v>647</v>
      </c>
      <c r="D446" s="82"/>
      <c r="E446" s="66"/>
      <c r="F446" s="51"/>
    </row>
    <row r="447" spans="1:6" ht="19.2">
      <c r="A447" s="78"/>
      <c r="B447" s="48"/>
      <c r="C447" s="63" t="s">
        <v>939</v>
      </c>
      <c r="D447" s="42" t="str">
        <f>HYPERLINK("#复数的指数函数和幂函数的值!A1","跳转")</f>
        <v>跳转</v>
      </c>
      <c r="E447" s="67" t="s">
        <v>648</v>
      </c>
      <c r="F447" s="43"/>
    </row>
    <row r="448" spans="1:6" ht="19.2">
      <c r="A448" s="78"/>
      <c r="B448" s="47"/>
      <c r="C448" s="61" t="s">
        <v>947</v>
      </c>
      <c r="D448" s="52" t="str">
        <f>HYPERLINK("#复数的指数函数和幂函数的值!A100","跳转")</f>
        <v>跳转</v>
      </c>
      <c r="E448" s="66" t="s">
        <v>649</v>
      </c>
      <c r="F448" s="51"/>
    </row>
    <row r="449" spans="1:6" ht="19.2">
      <c r="A449" s="78"/>
      <c r="B449" s="48" t="s">
        <v>67</v>
      </c>
      <c r="C449" s="63" t="s">
        <v>650</v>
      </c>
      <c r="D449" s="80"/>
      <c r="E449" s="67"/>
      <c r="F449" s="43"/>
    </row>
    <row r="450" spans="1:6" ht="19.2">
      <c r="A450" s="78"/>
      <c r="B450" s="47"/>
      <c r="C450" s="61" t="s">
        <v>941</v>
      </c>
      <c r="D450" s="52" t="str">
        <f>HYPERLINK("#复数的对数函数值!A1","跳转")</f>
        <v>跳转</v>
      </c>
      <c r="E450" s="66" t="s">
        <v>651</v>
      </c>
      <c r="F450" s="51"/>
    </row>
    <row r="451" spans="1:6" ht="19.2">
      <c r="A451" s="78"/>
      <c r="B451" s="48"/>
      <c r="C451" s="63" t="s">
        <v>943</v>
      </c>
      <c r="D451" s="42" t="str">
        <f>HYPERLINK("#复数的对数函数值!A100","跳转")</f>
        <v>跳转</v>
      </c>
      <c r="E451" s="67" t="s">
        <v>652</v>
      </c>
      <c r="F451" s="43"/>
    </row>
    <row r="452" spans="1:6" ht="19.2">
      <c r="A452" s="78"/>
      <c r="B452" s="47"/>
      <c r="C452" s="61" t="s">
        <v>945</v>
      </c>
      <c r="D452" s="52" t="str">
        <f>HYPERLINK("#复数的对数函数值!A200","跳转")</f>
        <v>跳转</v>
      </c>
      <c r="E452" s="66" t="s">
        <v>653</v>
      </c>
      <c r="F452" s="51"/>
    </row>
    <row r="453" spans="1:6" ht="19.2">
      <c r="A453" s="78"/>
      <c r="B453" s="48" t="s">
        <v>73</v>
      </c>
      <c r="C453" s="63" t="s">
        <v>654</v>
      </c>
      <c r="D453" s="80"/>
      <c r="E453" s="67"/>
      <c r="F453" s="43"/>
    </row>
    <row r="454" spans="1:6" ht="19.2">
      <c r="A454" s="78"/>
      <c r="B454" s="47"/>
      <c r="C454" s="61" t="s">
        <v>953</v>
      </c>
      <c r="D454" s="52" t="str">
        <f>HYPERLINK("#复数的平方根与三角函数!A100","跳转")</f>
        <v>跳转</v>
      </c>
      <c r="E454" s="66" t="s">
        <v>655</v>
      </c>
      <c r="F454" s="51"/>
    </row>
    <row r="455" spans="1:6" ht="19.2">
      <c r="A455" s="78"/>
      <c r="B455" s="48"/>
      <c r="C455" s="63" t="s">
        <v>935</v>
      </c>
      <c r="D455" s="42" t="str">
        <f>HYPERLINK("#复数的平方根与三角函数!A200","跳转")</f>
        <v>跳转</v>
      </c>
      <c r="E455" s="67" t="s">
        <v>656</v>
      </c>
      <c r="F455" s="43"/>
    </row>
    <row r="456" spans="1:6" ht="19.2">
      <c r="A456" s="78"/>
      <c r="B456" s="47" t="s">
        <v>151</v>
      </c>
      <c r="C456" s="61" t="s">
        <v>657</v>
      </c>
      <c r="D456" s="82"/>
      <c r="E456" s="66"/>
      <c r="F456" s="51"/>
    </row>
    <row r="457" spans="1:6" ht="19.2">
      <c r="A457" s="78"/>
      <c r="B457" s="48"/>
      <c r="C457" s="63" t="s">
        <v>745</v>
      </c>
      <c r="D457" s="42" t="str">
        <f>HYPERLINK("#使用贝塞尔函数!A1","跳转")</f>
        <v>跳转</v>
      </c>
      <c r="E457" s="67" t="s">
        <v>5800</v>
      </c>
      <c r="F457" s="43"/>
    </row>
    <row r="458" spans="1:6" ht="19.2">
      <c r="A458" s="78"/>
      <c r="B458" s="47"/>
      <c r="C458" s="61" t="s">
        <v>748</v>
      </c>
      <c r="D458" s="52" t="str">
        <f>HYPERLINK("#使用贝塞尔函数!A100","跳转")</f>
        <v>跳转</v>
      </c>
      <c r="E458" s="66" t="s">
        <v>5801</v>
      </c>
      <c r="F458" s="51"/>
    </row>
    <row r="459" spans="1:6" ht="19.2">
      <c r="A459" s="78"/>
      <c r="B459" s="48"/>
      <c r="C459" s="63" t="s">
        <v>658</v>
      </c>
      <c r="D459" s="42" t="str">
        <f>HYPERLINK("#使用贝塞尔函数!A200","跳转")</f>
        <v>跳转</v>
      </c>
      <c r="E459" s="67" t="s">
        <v>5802</v>
      </c>
      <c r="F459" s="43"/>
    </row>
    <row r="460" spans="1:6" ht="19.2">
      <c r="A460" s="78"/>
      <c r="B460" s="47"/>
      <c r="C460" s="61" t="s">
        <v>747</v>
      </c>
      <c r="D460" s="52" t="str">
        <f>HYPERLINK("#使用贝塞尔函数!A300","跳转")</f>
        <v>跳转</v>
      </c>
      <c r="E460" s="66" t="s">
        <v>5803</v>
      </c>
      <c r="F460" s="51"/>
    </row>
    <row r="461" spans="1:6" ht="19.2">
      <c r="A461" s="78"/>
      <c r="B461" s="48" t="s">
        <v>163</v>
      </c>
      <c r="C461" s="63" t="s">
        <v>659</v>
      </c>
      <c r="D461" s="80"/>
      <c r="E461" s="67"/>
      <c r="F461" s="43"/>
    </row>
    <row r="462" spans="1:6" ht="19.2">
      <c r="A462" s="78"/>
      <c r="B462" s="47"/>
      <c r="C462" s="61" t="s">
        <v>864</v>
      </c>
      <c r="D462" s="52" t="str">
        <f>HYPERLINK("#使用误差函数!A1","跳转")</f>
        <v>跳转</v>
      </c>
      <c r="E462" s="66" t="s">
        <v>660</v>
      </c>
      <c r="F462" s="51"/>
    </row>
    <row r="463" spans="1:6" ht="19.2">
      <c r="A463" s="78"/>
      <c r="B463" s="48"/>
      <c r="C463" s="63" t="s">
        <v>866</v>
      </c>
      <c r="D463" s="42" t="str">
        <f>HYPERLINK("#使用误差函数!A100","跳转")</f>
        <v>跳转</v>
      </c>
      <c r="E463" s="67" t="s">
        <v>661</v>
      </c>
      <c r="F463" s="43"/>
    </row>
    <row r="464" spans="1:6" ht="19.2">
      <c r="A464" s="78"/>
      <c r="B464" s="47" t="s">
        <v>166</v>
      </c>
      <c r="C464" s="61" t="s">
        <v>662</v>
      </c>
      <c r="D464" s="82"/>
      <c r="E464" s="66"/>
      <c r="F464" s="51"/>
    </row>
    <row r="465" spans="1:6" ht="19.2">
      <c r="A465" s="78"/>
      <c r="B465" s="48"/>
      <c r="C465" s="63" t="s">
        <v>832</v>
      </c>
      <c r="D465" s="42" t="str">
        <f>HYPERLINK("#比较数值!A1","跳转")</f>
        <v>跳转</v>
      </c>
      <c r="E465" s="67" t="s">
        <v>663</v>
      </c>
      <c r="F465" s="43"/>
    </row>
    <row r="466" spans="1:6" ht="19.2">
      <c r="A466" s="78"/>
      <c r="B466" s="47"/>
      <c r="C466" s="61" t="s">
        <v>909</v>
      </c>
      <c r="D466" s="52" t="str">
        <f>HYPERLINK("#比较数值!A100","跳转")</f>
        <v>跳转</v>
      </c>
      <c r="E466" s="66" t="s">
        <v>664</v>
      </c>
      <c r="F466" s="51"/>
    </row>
    <row r="467" spans="1:6" ht="19.2">
      <c r="A467" s="78"/>
      <c r="B467" s="48" t="s">
        <v>171</v>
      </c>
      <c r="C467" s="63" t="s">
        <v>665</v>
      </c>
      <c r="D467" s="80"/>
      <c r="E467" s="67"/>
      <c r="F467" s="43"/>
    </row>
    <row r="468" spans="1:6" ht="19.2">
      <c r="A468" s="78"/>
      <c r="B468" s="47"/>
      <c r="C468" s="61" t="s">
        <v>783</v>
      </c>
      <c r="D468" s="52" t="str">
        <f>HYPERLINK("#单位的转换!A1","跳转")</f>
        <v>跳转</v>
      </c>
      <c r="E468" s="66" t="s">
        <v>666</v>
      </c>
      <c r="F468" s="51"/>
    </row>
    <row r="469" spans="1:6" ht="22.2">
      <c r="A469" s="29" t="str">
        <f>HYPERLINK("#A2","返回顶行")</f>
        <v>返回顶行</v>
      </c>
      <c r="B469" s="440" t="s">
        <v>24</v>
      </c>
      <c r="C469" s="441"/>
      <c r="D469" s="30" t="s">
        <v>667</v>
      </c>
      <c r="E469" s="84"/>
      <c r="F469" s="43"/>
    </row>
    <row r="470" spans="1:6" ht="19.2">
      <c r="A470" s="78"/>
      <c r="B470" s="47" t="s">
        <v>31</v>
      </c>
      <c r="C470" s="61" t="s">
        <v>668</v>
      </c>
      <c r="D470" s="82"/>
      <c r="E470" s="66"/>
      <c r="F470" s="51"/>
    </row>
    <row r="471" spans="1:6" ht="19.2">
      <c r="A471" s="78"/>
      <c r="B471" s="48"/>
      <c r="C471" s="63" t="s">
        <v>971</v>
      </c>
      <c r="D471" s="42" t="str">
        <f>HYPERLINK("#查看单元格内容!A1","跳转")</f>
        <v>跳转</v>
      </c>
      <c r="E471" s="67" t="s">
        <v>669</v>
      </c>
      <c r="F471" s="43"/>
    </row>
    <row r="472" spans="1:6" ht="19.2">
      <c r="A472" s="78"/>
      <c r="B472" s="47"/>
      <c r="C472" s="61" t="s">
        <v>974</v>
      </c>
      <c r="D472" s="52" t="str">
        <f>HYPERLINK("#查看单元格内容!A100","跳转")</f>
        <v>跳转</v>
      </c>
      <c r="E472" s="66" t="s">
        <v>670</v>
      </c>
      <c r="F472" s="51"/>
    </row>
    <row r="473" spans="1:6" ht="19.2">
      <c r="A473" s="78"/>
      <c r="B473" s="48"/>
      <c r="C473" s="63" t="s">
        <v>671</v>
      </c>
      <c r="D473" s="42" t="str">
        <f>HYPERLINK("#查看单元格内容!A200","跳转")</f>
        <v>跳转</v>
      </c>
      <c r="E473" s="67" t="s">
        <v>672</v>
      </c>
      <c r="F473" s="43"/>
    </row>
    <row r="474" spans="1:6" ht="19.2">
      <c r="A474" s="78"/>
      <c r="B474" s="47"/>
      <c r="C474" s="61" t="s">
        <v>980</v>
      </c>
      <c r="D474" s="52" t="str">
        <f>HYPERLINK("#查看单元格内容!A300","跳转")</f>
        <v>跳转</v>
      </c>
      <c r="E474" s="66" t="s">
        <v>673</v>
      </c>
      <c r="F474" s="51"/>
    </row>
    <row r="475" spans="1:6" ht="19.2">
      <c r="A475" s="78"/>
      <c r="B475" s="48"/>
      <c r="C475" s="63" t="s">
        <v>976</v>
      </c>
      <c r="D475" s="42" t="str">
        <f>HYPERLINK("#查看单元格内容!A400","跳转")</f>
        <v>跳转</v>
      </c>
      <c r="E475" s="67" t="s">
        <v>674</v>
      </c>
      <c r="F475" s="43"/>
    </row>
    <row r="476" spans="1:6" ht="19.2">
      <c r="A476" s="78"/>
      <c r="B476" s="47"/>
      <c r="C476" s="61" t="s">
        <v>986</v>
      </c>
      <c r="D476" s="52" t="str">
        <f>HYPERLINK("#查看单元格内容!A500","跳转")</f>
        <v>跳转</v>
      </c>
      <c r="E476" s="66" t="s">
        <v>675</v>
      </c>
      <c r="F476" s="51"/>
    </row>
    <row r="477" spans="1:6" ht="19.2">
      <c r="A477" s="78"/>
      <c r="B477" s="48"/>
      <c r="C477" s="63" t="s">
        <v>978</v>
      </c>
      <c r="D477" s="42" t="str">
        <f>HYPERLINK("#查看单元格内容!A600","跳转")</f>
        <v>跳转</v>
      </c>
      <c r="E477" s="67" t="s">
        <v>676</v>
      </c>
      <c r="F477" s="43"/>
    </row>
    <row r="478" spans="1:6" ht="19.2">
      <c r="A478" s="78"/>
      <c r="B478" s="47"/>
      <c r="C478" s="61" t="s">
        <v>992</v>
      </c>
      <c r="D478" s="52" t="str">
        <f>HYPERLINK("#查看单元格内容!A700","跳转")</f>
        <v>跳转</v>
      </c>
      <c r="E478" s="66" t="s">
        <v>677</v>
      </c>
      <c r="F478" s="51"/>
    </row>
    <row r="479" spans="1:6" ht="19.2">
      <c r="A479" s="78"/>
      <c r="B479" s="48"/>
      <c r="C479" s="63" t="s">
        <v>982</v>
      </c>
      <c r="D479" s="42" t="str">
        <f>HYPERLINK("#查看单元格内容!A800","跳转")</f>
        <v>跳转</v>
      </c>
      <c r="E479" s="67" t="s">
        <v>678</v>
      </c>
      <c r="F479" s="43"/>
    </row>
    <row r="480" spans="1:6" ht="19.2">
      <c r="A480" s="78"/>
      <c r="B480" s="47"/>
      <c r="C480" s="61" t="s">
        <v>984</v>
      </c>
      <c r="D480" s="52" t="str">
        <f>HYPERLINK("#查看单元格内容!A900","跳转")</f>
        <v>跳转</v>
      </c>
      <c r="E480" s="66" t="s">
        <v>679</v>
      </c>
      <c r="F480" s="51"/>
    </row>
    <row r="481" spans="1:6" ht="19.2">
      <c r="A481" s="78"/>
      <c r="B481" s="48"/>
      <c r="C481" s="63" t="s">
        <v>990</v>
      </c>
      <c r="D481" s="42" t="str">
        <f>HYPERLINK("#查看单元格内容!A1000","跳转")</f>
        <v>跳转</v>
      </c>
      <c r="E481" s="67" t="s">
        <v>680</v>
      </c>
      <c r="F481" s="43"/>
    </row>
    <row r="482" spans="1:6" ht="19.2">
      <c r="A482" s="78"/>
      <c r="B482" s="47" t="s">
        <v>39</v>
      </c>
      <c r="C482" s="61" t="s">
        <v>681</v>
      </c>
      <c r="D482" s="82"/>
      <c r="E482" s="66"/>
      <c r="F482" s="51"/>
    </row>
    <row r="483" spans="1:6" ht="19.2">
      <c r="A483" s="78"/>
      <c r="B483" s="48"/>
      <c r="C483" s="63" t="s">
        <v>1036</v>
      </c>
      <c r="D483" s="42" t="str">
        <f>HYPERLINK("#查看数据型或错误值!A1","跳转")</f>
        <v>跳转</v>
      </c>
      <c r="E483" s="67" t="s">
        <v>681</v>
      </c>
      <c r="F483" s="43"/>
    </row>
    <row r="484" spans="1:6" ht="19.2">
      <c r="A484" s="78"/>
      <c r="B484" s="47" t="s">
        <v>47</v>
      </c>
      <c r="C484" s="61" t="s">
        <v>682</v>
      </c>
      <c r="D484" s="82"/>
      <c r="E484" s="66"/>
      <c r="F484" s="51"/>
    </row>
    <row r="485" spans="1:6" ht="19.2">
      <c r="A485" s="78"/>
      <c r="B485" s="48"/>
      <c r="C485" s="63" t="s">
        <v>1177</v>
      </c>
      <c r="D485" s="42" t="str">
        <f>HYPERLINK("#查看数据型或错误值!A100","跳转")</f>
        <v>跳转</v>
      </c>
      <c r="E485" s="67" t="s">
        <v>683</v>
      </c>
      <c r="F485" s="43"/>
    </row>
    <row r="486" spans="1:6" ht="19.2">
      <c r="A486" s="78"/>
      <c r="B486" s="47"/>
      <c r="C486" s="61" t="s">
        <v>868</v>
      </c>
      <c r="D486" s="52" t="str">
        <f>HYPERLINK("#查看数据型或错误值!A200","跳转")</f>
        <v>跳转</v>
      </c>
      <c r="E486" s="66" t="s">
        <v>684</v>
      </c>
      <c r="F486" s="51"/>
    </row>
    <row r="487" spans="1:6" ht="19.2">
      <c r="A487" s="78"/>
      <c r="B487" s="48" t="s">
        <v>51</v>
      </c>
      <c r="C487" s="63" t="s">
        <v>685</v>
      </c>
      <c r="D487" s="80"/>
      <c r="E487" s="67"/>
      <c r="F487" s="43"/>
    </row>
    <row r="488" spans="1:6" ht="19.2">
      <c r="A488" s="78"/>
      <c r="B488" s="47"/>
      <c r="C488" s="61" t="s">
        <v>766</v>
      </c>
      <c r="D488" s="52" t="str">
        <f>HYPERLINK("#查看单元格信息!A1","跳转")</f>
        <v>跳转</v>
      </c>
      <c r="E488" s="66" t="s">
        <v>685</v>
      </c>
      <c r="F488" s="51"/>
    </row>
    <row r="489" spans="1:6" ht="19.2">
      <c r="A489" s="78"/>
      <c r="B489" s="48" t="s">
        <v>55</v>
      </c>
      <c r="C489" s="63" t="s">
        <v>686</v>
      </c>
      <c r="D489" s="80"/>
      <c r="E489" s="67"/>
      <c r="F489" s="43"/>
    </row>
    <row r="490" spans="1:6" ht="19.2">
      <c r="A490" s="78"/>
      <c r="B490" s="47"/>
      <c r="C490" s="61" t="s">
        <v>687</v>
      </c>
      <c r="D490" s="52" t="str">
        <f>HYPERLINK("#变更为数值!A1","跳转")</f>
        <v>跳转</v>
      </c>
      <c r="E490" s="66" t="s">
        <v>688</v>
      </c>
      <c r="F490" s="51"/>
    </row>
    <row r="491" spans="1:6" ht="19.2">
      <c r="A491" s="78"/>
      <c r="B491" s="48" t="s">
        <v>61</v>
      </c>
      <c r="C491" s="63" t="s">
        <v>689</v>
      </c>
      <c r="D491" s="80"/>
      <c r="E491" s="67"/>
      <c r="F491" s="43"/>
    </row>
    <row r="492" spans="1:6" ht="19.2">
      <c r="A492" s="78"/>
      <c r="B492" s="47"/>
      <c r="C492" s="61" t="s">
        <v>962</v>
      </c>
      <c r="D492" s="52" t="str">
        <f>HYPERLINK("#获取操作环境的信息!A1","跳转")</f>
        <v>跳转</v>
      </c>
      <c r="E492" s="66" t="s">
        <v>690</v>
      </c>
      <c r="F492" s="51"/>
    </row>
    <row r="493" spans="1:6" ht="23.4">
      <c r="A493" s="29" t="str">
        <f>HYPERLINK("#A2","返回顶行")</f>
        <v>返回顶行</v>
      </c>
      <c r="B493" s="442" t="s">
        <v>14</v>
      </c>
      <c r="C493" s="443"/>
      <c r="D493" s="30" t="s">
        <v>691</v>
      </c>
      <c r="E493" s="84"/>
      <c r="F493" s="43"/>
    </row>
    <row r="494" spans="1:6" ht="19.2">
      <c r="A494" s="78"/>
      <c r="B494" s="47" t="s">
        <v>31</v>
      </c>
      <c r="C494" s="61" t="s">
        <v>692</v>
      </c>
      <c r="D494" s="82"/>
      <c r="E494" s="66"/>
      <c r="F494" s="51"/>
    </row>
    <row r="495" spans="1:6" ht="19.2">
      <c r="A495" s="78"/>
      <c r="B495" s="48"/>
      <c r="C495" s="63" t="s">
        <v>821</v>
      </c>
      <c r="D495" s="42" t="str">
        <f>HYPERLINK("#满足条件的单元格的个数!A1","跳转")</f>
        <v>跳转</v>
      </c>
      <c r="E495" s="67" t="s">
        <v>693</v>
      </c>
      <c r="F495" s="43"/>
    </row>
    <row r="496" spans="1:6" ht="19.2">
      <c r="A496" s="78"/>
      <c r="B496" s="47"/>
      <c r="C496" s="61" t="s">
        <v>823</v>
      </c>
      <c r="D496" s="52" t="str">
        <f>HYPERLINK("#满足条件的单元格的个数!A100","跳转")</f>
        <v>跳转</v>
      </c>
      <c r="E496" s="66" t="s">
        <v>694</v>
      </c>
      <c r="F496" s="51"/>
    </row>
    <row r="497" spans="1:6" ht="19.2">
      <c r="A497" s="78"/>
      <c r="B497" s="48" t="s">
        <v>39</v>
      </c>
      <c r="C497" s="63" t="s">
        <v>695</v>
      </c>
      <c r="D497" s="80"/>
      <c r="E497" s="67"/>
      <c r="F497" s="43"/>
    </row>
    <row r="498" spans="1:6" ht="19.2">
      <c r="A498" s="78"/>
      <c r="B498" s="47"/>
      <c r="C498" s="61" t="s">
        <v>839</v>
      </c>
      <c r="D498" s="52" t="str">
        <f>HYPERLINK("#满足条件的最大值或最小值!A1","跳转")</f>
        <v>跳转</v>
      </c>
      <c r="E498" s="66" t="s">
        <v>696</v>
      </c>
      <c r="F498" s="51"/>
    </row>
    <row r="499" spans="1:6" ht="19.2">
      <c r="A499" s="78"/>
      <c r="B499" s="48"/>
      <c r="C499" s="63" t="s">
        <v>841</v>
      </c>
      <c r="D499" s="42" t="str">
        <f>HYPERLINK("#满足条件的最大值或最小值!A100","跳转")</f>
        <v>跳转</v>
      </c>
      <c r="E499" s="67" t="s">
        <v>697</v>
      </c>
      <c r="F499" s="43"/>
    </row>
    <row r="500" spans="1:6" ht="19.2">
      <c r="A500" s="78"/>
      <c r="B500" s="47" t="s">
        <v>47</v>
      </c>
      <c r="C500" s="61" t="s">
        <v>698</v>
      </c>
      <c r="D500" s="82"/>
      <c r="E500" s="66"/>
      <c r="F500" s="51"/>
    </row>
    <row r="501" spans="1:6" ht="19.2">
      <c r="A501" s="78"/>
      <c r="B501" s="48"/>
      <c r="C501" s="63" t="s">
        <v>853</v>
      </c>
      <c r="D501" s="42" t="str">
        <f>HYPERLINK("#满足条件的列的各种计算!A1","跳转")</f>
        <v>跳转</v>
      </c>
      <c r="E501" s="67" t="s">
        <v>699</v>
      </c>
      <c r="F501" s="43"/>
    </row>
    <row r="502" spans="1:6" ht="19.2">
      <c r="A502" s="78"/>
      <c r="B502" s="47"/>
      <c r="C502" s="61" t="s">
        <v>815</v>
      </c>
      <c r="D502" s="52" t="str">
        <f>HYPERLINK("#满足条件的列的各种计算!A100","跳转")</f>
        <v>跳转</v>
      </c>
      <c r="E502" s="66" t="s">
        <v>700</v>
      </c>
      <c r="F502" s="51"/>
    </row>
    <row r="503" spans="1:6" ht="19.2">
      <c r="A503" s="78"/>
      <c r="B503" s="48"/>
      <c r="C503" s="63" t="s">
        <v>847</v>
      </c>
      <c r="D503" s="42" t="str">
        <f>HYPERLINK("#满足条件的列的各种计算!A200","跳转")</f>
        <v>跳转</v>
      </c>
      <c r="E503" s="67" t="s">
        <v>701</v>
      </c>
      <c r="F503" s="43"/>
    </row>
    <row r="504" spans="1:6" ht="19.2">
      <c r="A504" s="78"/>
      <c r="B504" s="47" t="s">
        <v>51</v>
      </c>
      <c r="C504" s="61" t="s">
        <v>702</v>
      </c>
      <c r="D504" s="82"/>
      <c r="E504" s="66"/>
      <c r="F504" s="51"/>
    </row>
    <row r="505" spans="1:6" ht="19.2">
      <c r="A505" s="78"/>
      <c r="B505" s="48"/>
      <c r="C505" s="63" t="s">
        <v>835</v>
      </c>
      <c r="D505" s="42" t="str">
        <f>HYPERLINK("#DGET!A1","跳转")</f>
        <v>跳转</v>
      </c>
      <c r="E505" s="67" t="s">
        <v>702</v>
      </c>
      <c r="F505" s="43"/>
    </row>
    <row r="506" spans="1:6" ht="19.2">
      <c r="A506" s="78"/>
      <c r="B506" s="47" t="s">
        <v>55</v>
      </c>
      <c r="C506" s="61" t="s">
        <v>703</v>
      </c>
      <c r="D506" s="82"/>
      <c r="E506" s="66"/>
      <c r="F506" s="51"/>
    </row>
    <row r="507" spans="1:6" ht="19.2">
      <c r="A507" s="78"/>
      <c r="B507" s="48"/>
      <c r="C507" s="63" t="s">
        <v>857</v>
      </c>
      <c r="D507" s="42" t="str">
        <f>HYPERLINK("#计算数据库的方差!A1","跳转")</f>
        <v>跳转</v>
      </c>
      <c r="E507" s="67" t="s">
        <v>704</v>
      </c>
      <c r="F507" s="43"/>
    </row>
    <row r="508" spans="1:6" ht="19.2">
      <c r="A508" s="78"/>
      <c r="B508" s="47"/>
      <c r="C508" s="61" t="s">
        <v>859</v>
      </c>
      <c r="D508" s="52" t="str">
        <f>HYPERLINK("#计算数据库的方差!A100","跳转")</f>
        <v>跳转</v>
      </c>
      <c r="E508" s="66" t="s">
        <v>705</v>
      </c>
      <c r="F508" s="51"/>
    </row>
    <row r="509" spans="1:6" ht="19.2">
      <c r="A509" s="78"/>
      <c r="B509" s="48" t="s">
        <v>61</v>
      </c>
      <c r="C509" s="63" t="s">
        <v>706</v>
      </c>
      <c r="D509" s="80"/>
      <c r="E509" s="67"/>
      <c r="F509" s="43"/>
    </row>
    <row r="510" spans="1:6" ht="19.2">
      <c r="A510" s="78"/>
      <c r="B510" s="47"/>
      <c r="C510" s="61" t="s">
        <v>849</v>
      </c>
      <c r="D510" s="52" t="str">
        <f>HYPERLINK("#数据库的标准偏差!A1","跳转")</f>
        <v>跳转</v>
      </c>
      <c r="E510" s="66" t="s">
        <v>707</v>
      </c>
      <c r="F510" s="51"/>
    </row>
    <row r="511" spans="1:6" ht="19.2">
      <c r="A511" s="78"/>
      <c r="B511" s="48"/>
      <c r="C511" s="63" t="s">
        <v>851</v>
      </c>
      <c r="D511" s="42" t="str">
        <f>HYPERLINK("#数据库的标准偏差!A100","跳转")</f>
        <v>跳转</v>
      </c>
      <c r="E511" s="67" t="s">
        <v>708</v>
      </c>
      <c r="F511" s="43"/>
    </row>
    <row r="512" spans="1:6" ht="19.2">
      <c r="A512" s="78"/>
      <c r="B512" s="47" t="s">
        <v>67</v>
      </c>
      <c r="C512" s="61" t="s">
        <v>709</v>
      </c>
      <c r="D512" s="82"/>
      <c r="E512" s="66"/>
      <c r="F512" s="51"/>
    </row>
    <row r="513" spans="1:6" ht="19.2">
      <c r="A513" s="78"/>
      <c r="B513" s="48"/>
      <c r="C513" s="63" t="s">
        <v>710</v>
      </c>
      <c r="D513" s="42" t="str">
        <f>HYPERLINK("#使用数据透视表!A1","跳转")</f>
        <v>跳转</v>
      </c>
      <c r="E513" s="67" t="s">
        <v>711</v>
      </c>
      <c r="F513" s="43"/>
    </row>
    <row r="514" spans="1:6" ht="19.2">
      <c r="A514" s="78"/>
      <c r="B514" s="47"/>
      <c r="C514" s="61"/>
      <c r="D514" s="82"/>
      <c r="E514" s="66"/>
      <c r="F514" s="51"/>
    </row>
    <row r="515" spans="1:6" ht="23.4">
      <c r="A515" s="29" t="str">
        <f>HYPERLINK("#A2","返回顶行")</f>
        <v>返回顶行</v>
      </c>
      <c r="B515" s="442" t="s">
        <v>26</v>
      </c>
      <c r="C515" s="443"/>
      <c r="D515" s="30" t="s">
        <v>712</v>
      </c>
      <c r="E515" s="84"/>
      <c r="F515" s="43"/>
    </row>
    <row r="516" spans="1:6" ht="19.2">
      <c r="A516" s="78"/>
      <c r="B516" s="47"/>
      <c r="C516" s="61"/>
      <c r="D516" s="82"/>
      <c r="E516" s="66"/>
      <c r="F516" s="51"/>
    </row>
    <row r="517" spans="1:6" ht="19.2">
      <c r="A517" s="78"/>
      <c r="B517" s="48"/>
      <c r="C517" s="63" t="s">
        <v>870</v>
      </c>
      <c r="D517" s="42" t="str">
        <f>HYPERLINK("#外部函数!A1","跳转")</f>
        <v>跳转</v>
      </c>
      <c r="E517" s="67" t="s">
        <v>713</v>
      </c>
      <c r="F517" s="43"/>
    </row>
    <row r="518" spans="1:6" ht="19.2">
      <c r="A518" s="78"/>
      <c r="B518" s="47"/>
      <c r="C518" s="61" t="s">
        <v>714</v>
      </c>
      <c r="D518" s="52" t="str">
        <f>HYPERLINK("#外部函数!A100","跳转")</f>
        <v>跳转</v>
      </c>
      <c r="E518" s="66" t="s">
        <v>715</v>
      </c>
      <c r="F518" s="51"/>
    </row>
    <row r="519" spans="1:6" ht="19.2">
      <c r="A519" s="78"/>
      <c r="B519" s="48"/>
      <c r="C519" s="63"/>
      <c r="D519" s="80"/>
      <c r="E519" s="67"/>
      <c r="F519" s="43"/>
    </row>
    <row r="520" spans="1:6" ht="19.2">
      <c r="A520" s="78"/>
      <c r="B520" s="47"/>
      <c r="C520" s="61"/>
      <c r="D520" s="82"/>
      <c r="E520" s="66"/>
      <c r="F520" s="51"/>
    </row>
    <row r="521" spans="1:6" ht="19.2">
      <c r="A521" s="78"/>
      <c r="B521" s="48"/>
      <c r="C521" s="63"/>
      <c r="D521" s="80"/>
      <c r="E521" s="67"/>
      <c r="F521" s="43"/>
    </row>
    <row r="522" spans="1:6" ht="19.2">
      <c r="A522" s="78"/>
      <c r="B522" s="47"/>
      <c r="C522" s="61"/>
      <c r="D522" s="82"/>
      <c r="E522" s="66"/>
      <c r="F522" s="51"/>
    </row>
  </sheetData>
  <mergeCells count="40">
    <mergeCell ref="B6:C6"/>
    <mergeCell ref="E6:F6"/>
    <mergeCell ref="A1:E1"/>
    <mergeCell ref="A2:C2"/>
    <mergeCell ref="B4:C4"/>
    <mergeCell ref="E4:F4"/>
    <mergeCell ref="B5:C5"/>
    <mergeCell ref="B11:C11"/>
    <mergeCell ref="B12:C12"/>
    <mergeCell ref="E12:F12"/>
    <mergeCell ref="B13:C13"/>
    <mergeCell ref="B7:C7"/>
    <mergeCell ref="B8:C8"/>
    <mergeCell ref="E8:F8"/>
    <mergeCell ref="B9:C9"/>
    <mergeCell ref="B10:C10"/>
    <mergeCell ref="E10:F10"/>
    <mergeCell ref="B14:C14"/>
    <mergeCell ref="E14:F14"/>
    <mergeCell ref="B15:C15"/>
    <mergeCell ref="B16:C16"/>
    <mergeCell ref="E16:F16"/>
    <mergeCell ref="B17:C17"/>
    <mergeCell ref="B20:C20"/>
    <mergeCell ref="E21:F21"/>
    <mergeCell ref="B22:C22"/>
    <mergeCell ref="B18:C18"/>
    <mergeCell ref="E18:F18"/>
    <mergeCell ref="B19:C19"/>
    <mergeCell ref="E20:F20"/>
    <mergeCell ref="B416:C416"/>
    <mergeCell ref="B469:C469"/>
    <mergeCell ref="B493:C493"/>
    <mergeCell ref="B515:C515"/>
    <mergeCell ref="B53:C53"/>
    <mergeCell ref="B135:C135"/>
    <mergeCell ref="B146:C146"/>
    <mergeCell ref="B175:C175"/>
    <mergeCell ref="B228:C228"/>
    <mergeCell ref="B338:C338"/>
  </mergeCells>
  <phoneticPr fontId="2" type="noConversion"/>
  <hyperlinks>
    <hyperlink ref="A22" location="目录!A2" display="=HYPERLINK(&quot;#A2&quot;,&quot;返回顶行&quot;)" xr:uid="{00000000-0004-0000-0000-000000000000}"/>
    <hyperlink ref="A146" location="目录!A2" display="=HYPERLINK(&quot;#A2&quot;,&quot;返回顶行&quot;)" xr:uid="{00000000-0004-0000-0000-000001000000}"/>
    <hyperlink ref="A135" location="目录!A2" display="=HYPERLINK(&quot;#A2&quot;,&quot;返回顶行&quot;)" xr:uid="{00000000-0004-0000-0000-000002000000}"/>
    <hyperlink ref="A175" location="目录!A2" display="=HYPERLINK(&quot;#A2&quot;,&quot;返回顶行&quot;)" xr:uid="{00000000-0004-0000-0000-000003000000}"/>
    <hyperlink ref="A228" location="目录!A2" display="=HYPERLINK(&quot;#A2&quot;,&quot;返回顶行&quot;)" xr:uid="{00000000-0004-0000-0000-000004000000}"/>
    <hyperlink ref="A338" location="目录!A2" display="=HYPERLINK(&quot;#A2&quot;,&quot;返回顶行&quot;)" xr:uid="{00000000-0004-0000-0000-000005000000}"/>
    <hyperlink ref="A416" location="目录!A2" display="=HYPERLINK(&quot;#A2&quot;,&quot;返回顶行&quot;)" xr:uid="{00000000-0004-0000-0000-000006000000}"/>
    <hyperlink ref="A469" location="目录!A2" display="=HYPERLINK(&quot;#A2&quot;,&quot;返回顶行&quot;)" xr:uid="{00000000-0004-0000-0000-000007000000}"/>
    <hyperlink ref="A493" location="目录!A2" display="=HYPERLINK(&quot;#A2&quot;,&quot;返回顶行&quot;)" xr:uid="{00000000-0004-0000-0000-000008000000}"/>
    <hyperlink ref="A515" location="目录!A2" display="=HYPERLINK(&quot;#A2&quot;,&quot;返回顶行&quot;)" xr:uid="{00000000-0004-0000-0000-000009000000}"/>
  </hyperlinks>
  <pageMargins left="0.75" right="0.75" top="1" bottom="1" header="0.5" footer="0.5"/>
  <pageSetup paperSize="9" orientation="portrait" horizontalDpi="1200" verticalDpi="1200"/>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O118"/>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94</v>
      </c>
      <c r="B1" s="498"/>
      <c r="C1" s="499"/>
      <c r="D1" s="87"/>
      <c r="E1" s="500" t="str">
        <f>HYPERLINK("#目录!A56","跳转回到目录页")</f>
        <v>跳转回到目录页</v>
      </c>
      <c r="F1" s="501"/>
    </row>
    <row r="2" spans="1:13" s="88" customFormat="1" ht="26.25" customHeight="1">
      <c r="A2" s="502" t="s">
        <v>1216</v>
      </c>
      <c r="B2" s="502"/>
      <c r="C2" s="503" t="s">
        <v>95</v>
      </c>
      <c r="D2" s="503"/>
      <c r="E2" s="503"/>
      <c r="F2" s="503"/>
      <c r="G2" s="503"/>
      <c r="H2" s="503"/>
      <c r="I2" s="503"/>
      <c r="J2" s="503"/>
      <c r="K2" s="503"/>
      <c r="L2" s="503"/>
      <c r="M2" s="503"/>
    </row>
    <row r="3" spans="1:13" s="88" customFormat="1" ht="16.5" customHeight="1">
      <c r="A3" s="496" t="s">
        <v>1217</v>
      </c>
      <c r="B3" s="496"/>
      <c r="C3" s="493" t="s">
        <v>1668</v>
      </c>
      <c r="D3" s="493"/>
      <c r="E3" s="493"/>
      <c r="F3" s="493"/>
      <c r="G3" s="493"/>
      <c r="H3" s="493"/>
      <c r="I3" s="493"/>
      <c r="J3" s="493"/>
      <c r="K3" s="493"/>
      <c r="L3" s="493"/>
      <c r="M3" s="493"/>
    </row>
    <row r="4" spans="1:13" s="88" customFormat="1" ht="16.5" customHeight="1">
      <c r="A4" s="496" t="s">
        <v>5786</v>
      </c>
      <c r="B4" s="496"/>
      <c r="C4" s="497" t="s">
        <v>1669</v>
      </c>
      <c r="D4" s="497"/>
      <c r="E4" s="497"/>
      <c r="F4" s="497"/>
      <c r="G4" s="497"/>
      <c r="H4" s="497"/>
      <c r="I4" s="497"/>
      <c r="J4" s="497"/>
      <c r="K4" s="497"/>
      <c r="L4" s="497"/>
      <c r="M4" s="497"/>
    </row>
    <row r="5" spans="1:13" s="88" customFormat="1" ht="16.5" customHeight="1">
      <c r="A5" s="496" t="s">
        <v>1220</v>
      </c>
      <c r="B5" s="496"/>
      <c r="C5" s="493" t="s">
        <v>1670</v>
      </c>
      <c r="D5" s="493"/>
      <c r="E5" s="493"/>
      <c r="F5" s="493"/>
      <c r="G5" s="493"/>
      <c r="H5" s="493"/>
      <c r="I5" s="493"/>
      <c r="J5" s="493"/>
      <c r="K5" s="493"/>
      <c r="L5" s="493"/>
      <c r="M5" s="493"/>
    </row>
    <row r="6" spans="1:13" s="88" customFormat="1" ht="16.5" customHeight="1">
      <c r="A6" s="496" t="s">
        <v>5785</v>
      </c>
      <c r="B6" s="496"/>
      <c r="C6" s="493" t="s">
        <v>1671</v>
      </c>
      <c r="D6" s="493"/>
      <c r="E6" s="493"/>
      <c r="F6" s="493"/>
      <c r="G6" s="493"/>
      <c r="H6" s="493"/>
      <c r="I6" s="493"/>
      <c r="J6" s="493"/>
      <c r="K6" s="493"/>
      <c r="L6" s="493"/>
      <c r="M6" s="493"/>
    </row>
    <row r="7" spans="1:13" s="88" customFormat="1" ht="16.5" customHeight="1">
      <c r="A7" s="89" t="s">
        <v>1223</v>
      </c>
      <c r="B7" s="92" t="s">
        <v>1672</v>
      </c>
      <c r="C7" s="493" t="s">
        <v>1673</v>
      </c>
      <c r="D7" s="493"/>
      <c r="E7" s="493"/>
      <c r="F7" s="493"/>
      <c r="G7" s="493"/>
      <c r="H7" s="493"/>
      <c r="I7" s="493"/>
      <c r="J7" s="493"/>
      <c r="K7" s="493"/>
      <c r="L7" s="493"/>
      <c r="M7" s="493"/>
    </row>
    <row r="8" spans="1:13" s="88" customFormat="1" ht="16.5" customHeight="1">
      <c r="A8" s="89"/>
      <c r="B8" s="92" t="s">
        <v>1674</v>
      </c>
      <c r="C8" s="493" t="s">
        <v>1675</v>
      </c>
      <c r="D8" s="493"/>
      <c r="E8" s="493"/>
      <c r="F8" s="493"/>
      <c r="G8" s="493"/>
      <c r="H8" s="493"/>
      <c r="I8" s="493"/>
      <c r="J8" s="493"/>
      <c r="K8" s="493"/>
      <c r="L8" s="493"/>
      <c r="M8" s="493"/>
    </row>
    <row r="9" spans="1:13" s="88" customFormat="1" ht="16.5" customHeight="1">
      <c r="A9" s="89"/>
      <c r="B9" s="90" t="s">
        <v>1676</v>
      </c>
      <c r="C9" s="493" t="s">
        <v>1677</v>
      </c>
      <c r="D9" s="493"/>
      <c r="E9" s="493"/>
      <c r="F9" s="493"/>
      <c r="G9" s="493"/>
      <c r="H9" s="493"/>
      <c r="I9" s="493"/>
      <c r="J9" s="493"/>
      <c r="K9" s="493"/>
      <c r="L9" s="493"/>
      <c r="M9" s="493"/>
    </row>
    <row r="10" spans="1:13" s="88" customFormat="1" ht="24.75" customHeight="1">
      <c r="A10" s="89" t="s">
        <v>1228</v>
      </c>
      <c r="B10" s="493" t="s">
        <v>1678</v>
      </c>
      <c r="C10" s="493"/>
      <c r="D10" s="493"/>
      <c r="E10" s="493"/>
      <c r="F10" s="493"/>
      <c r="G10" s="493"/>
      <c r="H10" s="493"/>
      <c r="I10" s="493"/>
      <c r="J10" s="493"/>
      <c r="K10" s="493"/>
      <c r="L10" s="493"/>
      <c r="M10" s="493"/>
    </row>
    <row r="11" spans="1:13" ht="16.5" customHeight="1">
      <c r="A11" s="89" t="s">
        <v>1229</v>
      </c>
      <c r="B11" s="493"/>
      <c r="C11" s="493"/>
      <c r="D11" s="493"/>
      <c r="E11" s="493"/>
      <c r="F11" s="493"/>
      <c r="G11" s="493"/>
      <c r="H11" s="493"/>
      <c r="I11" s="493"/>
      <c r="J11" s="493"/>
      <c r="K11" s="493"/>
      <c r="L11" s="493"/>
      <c r="M11" s="493"/>
    </row>
    <row r="12" spans="1:13" ht="21" customHeight="1">
      <c r="B12" s="494" t="s">
        <v>1231</v>
      </c>
      <c r="C12" s="494"/>
      <c r="D12" s="494"/>
      <c r="E12" s="494"/>
      <c r="F12" s="494"/>
      <c r="G12" s="494"/>
      <c r="H12" s="494"/>
      <c r="I12" s="494"/>
      <c r="J12" s="494"/>
      <c r="K12" s="494"/>
      <c r="L12" s="495"/>
    </row>
    <row r="13" spans="1:13" s="93" customFormat="1" ht="16.5" customHeight="1">
      <c r="A13" s="143" t="s">
        <v>1679</v>
      </c>
    </row>
    <row r="14" spans="1:13" s="93" customFormat="1" ht="16.5" customHeight="1">
      <c r="A14" s="94" t="s">
        <v>1232</v>
      </c>
      <c r="B14" s="93" t="s">
        <v>1295</v>
      </c>
    </row>
    <row r="15" spans="1:13" s="93" customFormat="1" ht="16.5" customHeight="1">
      <c r="B15" s="575" t="s">
        <v>1649</v>
      </c>
      <c r="C15" s="576"/>
      <c r="D15" s="576"/>
      <c r="E15" s="577"/>
      <c r="H15" s="94"/>
    </row>
    <row r="16" spans="1:13" s="93" customFormat="1" ht="16.5" customHeight="1">
      <c r="B16" s="111" t="s">
        <v>1650</v>
      </c>
      <c r="C16" s="100" t="s">
        <v>1680</v>
      </c>
      <c r="D16" s="110" t="s">
        <v>1657</v>
      </c>
      <c r="E16" s="112" t="s">
        <v>1681</v>
      </c>
      <c r="F16" s="94"/>
    </row>
    <row r="17" spans="1:10" s="93" customFormat="1" ht="16.5" customHeight="1">
      <c r="B17" s="99" t="s">
        <v>1651</v>
      </c>
      <c r="C17" s="110">
        <v>3</v>
      </c>
      <c r="D17" s="110">
        <v>139</v>
      </c>
      <c r="E17" s="101">
        <f>C17*D17</f>
        <v>417</v>
      </c>
    </row>
    <row r="18" spans="1:10" s="93" customFormat="1" ht="16.5" customHeight="1">
      <c r="B18" s="99" t="s">
        <v>1652</v>
      </c>
      <c r="C18" s="110">
        <v>6</v>
      </c>
      <c r="D18" s="110">
        <v>35</v>
      </c>
      <c r="E18" s="101">
        <f t="shared" ref="E18:E25" si="0">C18*D18</f>
        <v>210</v>
      </c>
      <c r="F18" s="288"/>
    </row>
    <row r="19" spans="1:10" s="93" customFormat="1" ht="16.5" customHeight="1">
      <c r="B19" s="99" t="s">
        <v>1653</v>
      </c>
      <c r="C19" s="110">
        <v>2</v>
      </c>
      <c r="D19" s="110">
        <v>186</v>
      </c>
      <c r="E19" s="101">
        <f t="shared" si="0"/>
        <v>372</v>
      </c>
    </row>
    <row r="20" spans="1:10" s="93" customFormat="1" ht="16.5" customHeight="1">
      <c r="B20" s="99" t="s">
        <v>1682</v>
      </c>
      <c r="C20" s="110">
        <v>5</v>
      </c>
      <c r="D20" s="110">
        <v>99</v>
      </c>
      <c r="E20" s="101">
        <f t="shared" si="0"/>
        <v>495</v>
      </c>
    </row>
    <row r="21" spans="1:10" s="93" customFormat="1" ht="16.5" customHeight="1">
      <c r="B21" s="99" t="s">
        <v>1654</v>
      </c>
      <c r="C21" s="110">
        <v>1</v>
      </c>
      <c r="D21" s="110">
        <v>358</v>
      </c>
      <c r="E21" s="101">
        <f t="shared" si="0"/>
        <v>358</v>
      </c>
    </row>
    <row r="22" spans="1:10" s="93" customFormat="1" ht="16.5" customHeight="1">
      <c r="B22" s="99" t="s">
        <v>1655</v>
      </c>
      <c r="C22" s="110">
        <v>3</v>
      </c>
      <c r="D22" s="110">
        <v>68</v>
      </c>
      <c r="E22" s="101">
        <f t="shared" si="0"/>
        <v>204</v>
      </c>
    </row>
    <row r="23" spans="1:10" s="93" customFormat="1" ht="16.5" customHeight="1">
      <c r="B23" s="99" t="s">
        <v>1683</v>
      </c>
      <c r="C23" s="110">
        <v>8</v>
      </c>
      <c r="D23" s="110">
        <v>29</v>
      </c>
      <c r="E23" s="101">
        <f t="shared" si="0"/>
        <v>232</v>
      </c>
    </row>
    <row r="24" spans="1:10" s="93" customFormat="1" ht="16.5" customHeight="1">
      <c r="B24" s="99" t="s">
        <v>1684</v>
      </c>
      <c r="C24" s="110">
        <v>4</v>
      </c>
      <c r="D24" s="110">
        <v>209</v>
      </c>
      <c r="E24" s="101">
        <f t="shared" si="0"/>
        <v>836</v>
      </c>
    </row>
    <row r="25" spans="1:10" s="93" customFormat="1" ht="16.5" customHeight="1">
      <c r="B25" s="99" t="s">
        <v>1656</v>
      </c>
      <c r="C25" s="110">
        <v>2</v>
      </c>
      <c r="D25" s="110">
        <v>169</v>
      </c>
      <c r="E25" s="101">
        <f t="shared" si="0"/>
        <v>338</v>
      </c>
    </row>
    <row r="26" spans="1:10" s="93" customFormat="1" ht="16.5" customHeight="1">
      <c r="A26" s="94"/>
      <c r="B26" s="99"/>
      <c r="C26" s="110"/>
      <c r="D26" s="110"/>
      <c r="E26" s="101"/>
    </row>
    <row r="27" spans="1:10" s="93" customFormat="1" ht="16.5" customHeight="1">
      <c r="B27" s="105"/>
      <c r="C27" s="113"/>
      <c r="D27" s="113"/>
      <c r="E27" s="107"/>
    </row>
    <row r="28" spans="1:10" s="93" customFormat="1" ht="16.5" customHeight="1">
      <c r="E28" s="94" t="s">
        <v>1521</v>
      </c>
    </row>
    <row r="29" spans="1:10" s="93" customFormat="1" ht="16.5" customHeight="1">
      <c r="B29" s="482" t="s">
        <v>1685</v>
      </c>
      <c r="C29" s="504"/>
      <c r="D29" s="504"/>
      <c r="E29" s="138">
        <f>SUM(E17:E24)</f>
        <v>3124</v>
      </c>
      <c r="F29" s="104" t="s">
        <v>1238</v>
      </c>
    </row>
    <row r="30" spans="1:10" s="93" customFormat="1" ht="16.5" customHeight="1">
      <c r="B30" s="483" t="s">
        <v>1686</v>
      </c>
      <c r="C30" s="488"/>
      <c r="D30" s="488"/>
      <c r="E30" s="101">
        <f>SUMIF($B$17:$B$27,"文胸*",$C$17:$C$27)</f>
        <v>13</v>
      </c>
      <c r="F30" s="108" t="s">
        <v>1687</v>
      </c>
    </row>
    <row r="31" spans="1:10" s="93" customFormat="1" ht="16.5" customHeight="1">
      <c r="B31" s="483" t="s">
        <v>1688</v>
      </c>
      <c r="C31" s="488"/>
      <c r="D31" s="488"/>
      <c r="E31" s="101">
        <f>SUMIF($B$17:$B$27,"文胸???",$C$17:$C$27)</f>
        <v>3</v>
      </c>
      <c r="F31" s="108" t="s">
        <v>1689</v>
      </c>
      <c r="J31" s="93" t="s">
        <v>1690</v>
      </c>
    </row>
    <row r="32" spans="1:10" s="93" customFormat="1" ht="16.5" customHeight="1">
      <c r="B32" s="483" t="s">
        <v>1691</v>
      </c>
      <c r="C32" s="488"/>
      <c r="D32" s="488"/>
      <c r="E32" s="101">
        <f>SUMIF($C$17:$C$27,"&gt;=5",$C$17:$C$27)</f>
        <v>19</v>
      </c>
      <c r="F32" s="108" t="s">
        <v>1692</v>
      </c>
    </row>
    <row r="33" spans="1:15" s="93" customFormat="1" ht="16.5" customHeight="1">
      <c r="B33" s="151" t="s">
        <v>1693</v>
      </c>
      <c r="C33" s="326" t="s">
        <v>1683</v>
      </c>
      <c r="D33" s="106" t="s">
        <v>1456</v>
      </c>
      <c r="E33" s="107">
        <f>SUMIF($B$17:$B$27,C33,$C$17:$C$27)</f>
        <v>8</v>
      </c>
      <c r="F33" s="108" t="s">
        <v>1694</v>
      </c>
      <c r="J33" s="93" t="s">
        <v>1695</v>
      </c>
    </row>
    <row r="34" spans="1:15" s="93" customFormat="1" ht="16.5" customHeight="1">
      <c r="F34" s="158"/>
    </row>
    <row r="35" spans="1:15" s="93" customFormat="1" ht="16.5" customHeight="1"/>
    <row r="36" spans="1:15" s="93" customFormat="1" ht="16.5" customHeight="1">
      <c r="B36" s="95" t="s">
        <v>1696</v>
      </c>
      <c r="C36" s="568" t="s">
        <v>1697</v>
      </c>
      <c r="D36" s="506"/>
      <c r="E36" s="569"/>
      <c r="F36" s="568" t="s">
        <v>1698</v>
      </c>
      <c r="G36" s="569"/>
      <c r="H36" s="570" t="s">
        <v>1699</v>
      </c>
      <c r="I36" s="549"/>
      <c r="J36" s="549"/>
      <c r="K36" s="549"/>
      <c r="L36" s="549"/>
      <c r="M36" s="549"/>
      <c r="N36" s="549"/>
      <c r="O36" s="549"/>
    </row>
    <row r="37" spans="1:15" s="93" customFormat="1" ht="16.5" customHeight="1">
      <c r="A37" s="94"/>
      <c r="B37" s="111" t="s">
        <v>1700</v>
      </c>
      <c r="C37" s="528" t="s">
        <v>1701</v>
      </c>
      <c r="D37" s="571"/>
      <c r="E37" s="527"/>
      <c r="F37" s="528" t="s">
        <v>1702</v>
      </c>
      <c r="G37" s="527"/>
      <c r="H37" s="570" t="s">
        <v>1703</v>
      </c>
      <c r="I37" s="549"/>
      <c r="J37" s="549"/>
      <c r="K37" s="549"/>
      <c r="L37" s="549"/>
      <c r="M37" s="549"/>
      <c r="N37" s="549"/>
      <c r="O37" s="549"/>
    </row>
    <row r="38" spans="1:15" s="93" customFormat="1" ht="16.5" customHeight="1">
      <c r="B38" s="111" t="s">
        <v>1704</v>
      </c>
      <c r="C38" s="528" t="s">
        <v>1705</v>
      </c>
      <c r="D38" s="571"/>
      <c r="E38" s="527"/>
      <c r="F38" s="528" t="s">
        <v>1706</v>
      </c>
      <c r="G38" s="527"/>
      <c r="H38" s="570" t="s">
        <v>1707</v>
      </c>
      <c r="I38" s="549"/>
      <c r="J38" s="549"/>
      <c r="K38" s="549"/>
      <c r="L38" s="549"/>
      <c r="M38" s="549"/>
      <c r="N38" s="549"/>
      <c r="O38" s="549"/>
    </row>
    <row r="39" spans="1:15" s="93" customFormat="1" ht="16.5" customHeight="1">
      <c r="B39" s="483" t="s">
        <v>1708</v>
      </c>
      <c r="C39" s="488" t="s">
        <v>1709</v>
      </c>
      <c r="D39" s="488"/>
      <c r="E39" s="488"/>
      <c r="F39" s="528" t="s">
        <v>1710</v>
      </c>
      <c r="G39" s="527"/>
      <c r="H39" s="570" t="s">
        <v>1711</v>
      </c>
      <c r="I39" s="549"/>
      <c r="J39" s="549"/>
      <c r="K39" s="549"/>
      <c r="L39" s="549"/>
      <c r="M39" s="549"/>
      <c r="N39" s="549"/>
      <c r="O39" s="549"/>
    </row>
    <row r="40" spans="1:15" s="93" customFormat="1" ht="16.5" customHeight="1">
      <c r="B40" s="484"/>
      <c r="C40" s="489"/>
      <c r="D40" s="489"/>
      <c r="E40" s="489"/>
      <c r="F40" s="532" t="s">
        <v>1712</v>
      </c>
      <c r="G40" s="531"/>
      <c r="H40" s="570" t="s">
        <v>1713</v>
      </c>
      <c r="I40" s="549"/>
      <c r="J40" s="549"/>
      <c r="K40" s="549"/>
      <c r="L40" s="549"/>
      <c r="M40" s="549"/>
      <c r="N40" s="549"/>
      <c r="O40" s="549"/>
    </row>
    <row r="41" spans="1:15" s="93" customFormat="1" ht="16.5" customHeight="1">
      <c r="C41" s="312"/>
      <c r="E41" s="312"/>
      <c r="F41" s="94"/>
    </row>
    <row r="42" spans="1:15" s="93" customFormat="1" ht="16.5" customHeight="1">
      <c r="C42" s="312"/>
      <c r="E42" s="312"/>
      <c r="F42" s="94"/>
    </row>
    <row r="43" spans="1:15" s="93" customFormat="1" ht="16.5" customHeight="1"/>
    <row r="44" spans="1:15" s="93" customFormat="1" ht="16.5" customHeight="1">
      <c r="A44" s="94" t="s">
        <v>1244</v>
      </c>
      <c r="B44" s="93" t="s">
        <v>1714</v>
      </c>
      <c r="C44" s="312"/>
    </row>
    <row r="45" spans="1:15" s="93" customFormat="1" ht="16.5" customHeight="1"/>
    <row r="46" spans="1:15" s="93" customFormat="1" ht="16.5" customHeight="1"/>
    <row r="47" spans="1:15" s="93" customFormat="1" ht="27" customHeight="1">
      <c r="B47" s="572" t="s">
        <v>1715</v>
      </c>
      <c r="C47" s="573"/>
      <c r="D47" s="573"/>
      <c r="E47" s="573"/>
      <c r="F47" s="573"/>
      <c r="G47" s="573"/>
      <c r="H47" s="573"/>
      <c r="I47" s="573"/>
      <c r="J47" s="574"/>
    </row>
    <row r="48" spans="1:15" s="93" customFormat="1" ht="16.5" customHeight="1">
      <c r="B48" s="111" t="s">
        <v>1716</v>
      </c>
      <c r="C48" s="100" t="s">
        <v>1717</v>
      </c>
      <c r="D48" s="100" t="s">
        <v>1718</v>
      </c>
      <c r="E48" s="100" t="s">
        <v>1716</v>
      </c>
      <c r="F48" s="100" t="s">
        <v>1717</v>
      </c>
      <c r="G48" s="100" t="s">
        <v>1718</v>
      </c>
      <c r="H48" s="100" t="s">
        <v>1716</v>
      </c>
      <c r="I48" s="100" t="s">
        <v>1717</v>
      </c>
      <c r="J48" s="112" t="s">
        <v>1718</v>
      </c>
    </row>
    <row r="49" spans="2:10" s="93" customFormat="1" ht="16.5" customHeight="1">
      <c r="B49" s="111" t="s">
        <v>1719</v>
      </c>
      <c r="C49" s="100" t="s">
        <v>1720</v>
      </c>
      <c r="D49" s="110">
        <v>194</v>
      </c>
      <c r="E49" s="100" t="s">
        <v>1719</v>
      </c>
      <c r="F49" s="100" t="s">
        <v>1721</v>
      </c>
      <c r="G49" s="110">
        <v>61</v>
      </c>
      <c r="H49" s="100" t="s">
        <v>1722</v>
      </c>
      <c r="I49" s="100" t="s">
        <v>1721</v>
      </c>
      <c r="J49" s="101">
        <v>179</v>
      </c>
    </row>
    <row r="50" spans="2:10" s="93" customFormat="1" ht="16.5" customHeight="1">
      <c r="B50" s="111" t="s">
        <v>1723</v>
      </c>
      <c r="C50" s="100" t="s">
        <v>1724</v>
      </c>
      <c r="D50" s="110">
        <v>40</v>
      </c>
      <c r="E50" s="100" t="s">
        <v>1723</v>
      </c>
      <c r="F50" s="100" t="s">
        <v>1724</v>
      </c>
      <c r="G50" s="110">
        <v>41</v>
      </c>
      <c r="H50" s="100" t="s">
        <v>1723</v>
      </c>
      <c r="I50" s="100" t="s">
        <v>1725</v>
      </c>
      <c r="J50" s="101">
        <v>97</v>
      </c>
    </row>
    <row r="51" spans="2:10" s="93" customFormat="1" ht="16.5" customHeight="1">
      <c r="B51" s="111" t="s">
        <v>1722</v>
      </c>
      <c r="C51" s="100" t="s">
        <v>1724</v>
      </c>
      <c r="D51" s="110">
        <v>100</v>
      </c>
      <c r="E51" s="100" t="s">
        <v>1726</v>
      </c>
      <c r="F51" s="100" t="s">
        <v>1721</v>
      </c>
      <c r="G51" s="110">
        <v>19</v>
      </c>
      <c r="H51" s="100" t="s">
        <v>1722</v>
      </c>
      <c r="I51" s="100" t="s">
        <v>1720</v>
      </c>
      <c r="J51" s="101">
        <v>182</v>
      </c>
    </row>
    <row r="52" spans="2:10" s="93" customFormat="1" ht="16.5" customHeight="1">
      <c r="B52" s="111" t="s">
        <v>1723</v>
      </c>
      <c r="C52" s="100" t="s">
        <v>1721</v>
      </c>
      <c r="D52" s="110">
        <v>130</v>
      </c>
      <c r="E52" s="100" t="s">
        <v>1723</v>
      </c>
      <c r="F52" s="100" t="s">
        <v>1720</v>
      </c>
      <c r="G52" s="110">
        <v>101</v>
      </c>
      <c r="H52" s="100" t="s">
        <v>1723</v>
      </c>
      <c r="I52" s="100" t="s">
        <v>1720</v>
      </c>
      <c r="J52" s="101">
        <v>54</v>
      </c>
    </row>
    <row r="53" spans="2:10" s="93" customFormat="1" ht="16.5" customHeight="1">
      <c r="B53" s="111" t="s">
        <v>1726</v>
      </c>
      <c r="C53" s="100" t="s">
        <v>1721</v>
      </c>
      <c r="D53" s="110">
        <v>110</v>
      </c>
      <c r="E53" s="100" t="s">
        <v>1726</v>
      </c>
      <c r="F53" s="100" t="s">
        <v>1725</v>
      </c>
      <c r="G53" s="110">
        <v>124</v>
      </c>
      <c r="H53" s="100" t="s">
        <v>1726</v>
      </c>
      <c r="I53" s="100" t="s">
        <v>1724</v>
      </c>
      <c r="J53" s="101">
        <v>130</v>
      </c>
    </row>
    <row r="54" spans="2:10" s="93" customFormat="1" ht="16.5" customHeight="1">
      <c r="B54" s="111" t="s">
        <v>1722</v>
      </c>
      <c r="C54" s="100" t="s">
        <v>1725</v>
      </c>
      <c r="D54" s="110">
        <v>74</v>
      </c>
      <c r="E54" s="100" t="s">
        <v>1722</v>
      </c>
      <c r="F54" s="100" t="s">
        <v>1720</v>
      </c>
      <c r="G54" s="110">
        <v>179</v>
      </c>
      <c r="H54" s="100" t="s">
        <v>1727</v>
      </c>
      <c r="I54" s="100" t="s">
        <v>1721</v>
      </c>
      <c r="J54" s="101">
        <v>61</v>
      </c>
    </row>
    <row r="55" spans="2:10" s="93" customFormat="1" ht="16.5" customHeight="1">
      <c r="B55" s="111" t="s">
        <v>1728</v>
      </c>
      <c r="C55" s="100" t="s">
        <v>1725</v>
      </c>
      <c r="D55" s="110">
        <v>100</v>
      </c>
      <c r="E55" s="100" t="s">
        <v>1719</v>
      </c>
      <c r="F55" s="100" t="s">
        <v>1724</v>
      </c>
      <c r="G55" s="110">
        <v>135</v>
      </c>
      <c r="H55" s="100" t="s">
        <v>1728</v>
      </c>
      <c r="I55" s="100" t="s">
        <v>1724</v>
      </c>
      <c r="J55" s="101">
        <v>82</v>
      </c>
    </row>
    <row r="56" spans="2:10" s="93" customFormat="1" ht="16.5" customHeight="1">
      <c r="B56" s="111" t="s">
        <v>1719</v>
      </c>
      <c r="C56" s="100" t="s">
        <v>1725</v>
      </c>
      <c r="D56" s="110">
        <v>143</v>
      </c>
      <c r="E56" s="100" t="s">
        <v>1722</v>
      </c>
      <c r="F56" s="100" t="s">
        <v>1725</v>
      </c>
      <c r="G56" s="110">
        <v>146</v>
      </c>
      <c r="H56" s="100" t="s">
        <v>1719</v>
      </c>
      <c r="I56" s="100" t="s">
        <v>1720</v>
      </c>
      <c r="J56" s="101">
        <v>158</v>
      </c>
    </row>
    <row r="57" spans="2:10" s="93" customFormat="1" ht="16.5" customHeight="1">
      <c r="B57" s="151" t="s">
        <v>1722</v>
      </c>
      <c r="C57" s="106" t="s">
        <v>1721</v>
      </c>
      <c r="D57" s="113">
        <v>121</v>
      </c>
      <c r="E57" s="106" t="s">
        <v>1728</v>
      </c>
      <c r="F57" s="106" t="s">
        <v>1725</v>
      </c>
      <c r="G57" s="113">
        <v>146</v>
      </c>
      <c r="H57" s="106" t="s">
        <v>1719</v>
      </c>
      <c r="I57" s="106" t="s">
        <v>1725</v>
      </c>
      <c r="J57" s="107">
        <v>158</v>
      </c>
    </row>
    <row r="58" spans="2:10" s="93" customFormat="1" ht="16.5" customHeight="1">
      <c r="B58" s="94"/>
      <c r="C58" s="94"/>
    </row>
    <row r="59" spans="2:10" s="93" customFormat="1" ht="16.5" customHeight="1"/>
    <row r="60" spans="2:10" s="93" customFormat="1" ht="16.5" customHeight="1">
      <c r="B60" s="482" t="s">
        <v>1729</v>
      </c>
      <c r="C60" s="504"/>
      <c r="D60" s="504"/>
      <c r="E60" s="568" t="s">
        <v>1730</v>
      </c>
      <c r="F60" s="569"/>
      <c r="G60" s="97" t="s">
        <v>1731</v>
      </c>
      <c r="H60" s="327" t="s">
        <v>1238</v>
      </c>
    </row>
    <row r="61" spans="2:10" s="93" customFormat="1" ht="16.5" customHeight="1">
      <c r="B61" s="483" t="s">
        <v>1732</v>
      </c>
      <c r="C61" s="488"/>
      <c r="D61" s="488"/>
      <c r="E61" s="488" t="s">
        <v>1733</v>
      </c>
      <c r="F61" s="488"/>
      <c r="G61" s="112">
        <f>SUM(SUMIF($B$49:$H$57,{"A001","B001"},$D$49:$J$57))</f>
        <v>1312</v>
      </c>
      <c r="H61" s="328" t="s">
        <v>1734</v>
      </c>
    </row>
    <row r="62" spans="2:10" s="93" customFormat="1" ht="16.5" customHeight="1">
      <c r="B62" s="566" t="s">
        <v>1735</v>
      </c>
      <c r="C62" s="567"/>
      <c r="D62" s="567"/>
      <c r="E62" s="488" t="s">
        <v>1733</v>
      </c>
      <c r="F62" s="488"/>
      <c r="G62" s="112">
        <f t="array" ref="G62">SUM(SUMIF($B$49:$H$57,B49:B50,$D$49:$J$57))</f>
        <v>1312</v>
      </c>
      <c r="H62" s="328" t="s">
        <v>1736</v>
      </c>
    </row>
    <row r="63" spans="2:10" s="93" customFormat="1" ht="16.5" customHeight="1">
      <c r="B63" s="483" t="s">
        <v>1737</v>
      </c>
      <c r="C63" s="488"/>
      <c r="D63" s="488"/>
      <c r="E63" s="488" t="s">
        <v>1738</v>
      </c>
      <c r="F63" s="488"/>
      <c r="G63" s="112">
        <f>SUMIF($B$49:$H$57,"A001",$D$49:$J$57)</f>
        <v>849</v>
      </c>
      <c r="H63" s="328" t="s">
        <v>1739</v>
      </c>
    </row>
    <row r="64" spans="2:10" s="93" customFormat="1" ht="16.5" customHeight="1">
      <c r="B64" s="483" t="s">
        <v>1740</v>
      </c>
      <c r="C64" s="488"/>
      <c r="D64" s="488"/>
      <c r="E64" s="488" t="s">
        <v>1738</v>
      </c>
      <c r="F64" s="488"/>
      <c r="G64" s="112">
        <f ca="1">SUMIF($B$49:$H$57,"A001",$D$49)</f>
        <v>849</v>
      </c>
      <c r="H64" s="328" t="s">
        <v>1741</v>
      </c>
    </row>
    <row r="65" spans="1:12" s="93" customFormat="1" ht="16.5" customHeight="1">
      <c r="B65" s="560" t="s">
        <v>1742</v>
      </c>
      <c r="C65" s="561"/>
      <c r="D65" s="561"/>
      <c r="E65" s="489" t="s">
        <v>1743</v>
      </c>
      <c r="F65" s="489"/>
      <c r="G65" s="150">
        <f>SUMIF($C$49:$I$57,"?居*",$D$49:$J$57)</f>
        <v>1516</v>
      </c>
      <c r="H65" s="328" t="s">
        <v>1744</v>
      </c>
    </row>
    <row r="66" spans="1:12" s="93" customFormat="1" ht="16.5" customHeight="1"/>
    <row r="67" spans="1:12" ht="16.5" customHeight="1"/>
    <row r="68" spans="1:12" ht="16.5" customHeight="1"/>
    <row r="69" spans="1:12" ht="16.5" customHeight="1">
      <c r="A69" s="94" t="s">
        <v>1244</v>
      </c>
      <c r="B69" s="93" t="s">
        <v>1745</v>
      </c>
    </row>
    <row r="70" spans="1:12" ht="16.5" customHeight="1"/>
    <row r="71" spans="1:12" ht="16.5" customHeight="1">
      <c r="F71" s="93"/>
      <c r="G71" s="93"/>
      <c r="H71" s="93"/>
      <c r="I71" s="93"/>
      <c r="J71" s="93"/>
      <c r="K71" s="93"/>
      <c r="L71" s="93"/>
    </row>
    <row r="72" spans="1:12" ht="16.5" customHeight="1">
      <c r="B72" s="562" t="s">
        <v>1649</v>
      </c>
      <c r="C72" s="563"/>
      <c r="D72" s="563"/>
      <c r="E72" s="564"/>
      <c r="F72" s="93"/>
      <c r="G72" s="93"/>
      <c r="H72" s="93"/>
      <c r="I72" s="93"/>
      <c r="J72" s="93"/>
      <c r="K72" s="93"/>
      <c r="L72" s="93"/>
    </row>
    <row r="73" spans="1:12" ht="16.5" customHeight="1">
      <c r="B73" s="111" t="s">
        <v>1650</v>
      </c>
      <c r="C73" s="100" t="s">
        <v>1680</v>
      </c>
      <c r="D73" s="110" t="s">
        <v>1657</v>
      </c>
      <c r="E73" s="112" t="s">
        <v>1681</v>
      </c>
      <c r="F73" s="93"/>
      <c r="G73" s="94" t="s">
        <v>1730</v>
      </c>
      <c r="H73" s="94" t="s">
        <v>1431</v>
      </c>
      <c r="I73" s="104" t="s">
        <v>1238</v>
      </c>
      <c r="J73" s="93"/>
      <c r="K73" s="93"/>
      <c r="L73" s="93"/>
    </row>
    <row r="74" spans="1:12" ht="16.5" customHeight="1">
      <c r="B74" s="99" t="s">
        <v>1651</v>
      </c>
      <c r="C74" s="110">
        <v>3</v>
      </c>
      <c r="D74" s="110">
        <v>139</v>
      </c>
      <c r="E74" s="101">
        <f>C74*D74</f>
        <v>417</v>
      </c>
      <c r="F74" s="93"/>
      <c r="G74" s="93" t="s">
        <v>1651</v>
      </c>
      <c r="H74" s="93">
        <f t="array" ref="H74">SUM(SUMIF(B74:B84,G74:G78,C74:C84))</f>
        <v>19</v>
      </c>
      <c r="I74" s="158" t="s">
        <v>1746</v>
      </c>
      <c r="J74" s="93"/>
      <c r="K74" s="93"/>
      <c r="L74" s="93"/>
    </row>
    <row r="75" spans="1:12" ht="16.5" customHeight="1">
      <c r="B75" s="99" t="s">
        <v>1652</v>
      </c>
      <c r="C75" s="110">
        <v>6</v>
      </c>
      <c r="D75" s="110">
        <v>35</v>
      </c>
      <c r="E75" s="101">
        <f t="shared" ref="E75:E82" si="1">C75*D75</f>
        <v>210</v>
      </c>
      <c r="F75" s="93"/>
      <c r="G75" s="93" t="s">
        <v>1652</v>
      </c>
      <c r="H75" s="93"/>
      <c r="I75" s="93"/>
      <c r="J75" s="93"/>
      <c r="K75" s="93"/>
      <c r="L75" s="93"/>
    </row>
    <row r="76" spans="1:12" ht="16.5" customHeight="1">
      <c r="B76" s="99" t="s">
        <v>1653</v>
      </c>
      <c r="C76" s="110">
        <v>2</v>
      </c>
      <c r="D76" s="110">
        <v>186</v>
      </c>
      <c r="E76" s="101">
        <f t="shared" si="1"/>
        <v>372</v>
      </c>
      <c r="F76" s="93"/>
      <c r="G76" s="93" t="s">
        <v>1653</v>
      </c>
      <c r="H76" s="93"/>
      <c r="I76" s="93"/>
      <c r="J76" s="93"/>
      <c r="K76" s="93"/>
      <c r="L76" s="93"/>
    </row>
    <row r="77" spans="1:12" ht="16.5" customHeight="1">
      <c r="B77" s="99" t="s">
        <v>1682</v>
      </c>
      <c r="C77" s="110">
        <v>5</v>
      </c>
      <c r="D77" s="110">
        <v>99</v>
      </c>
      <c r="E77" s="101">
        <f t="shared" si="1"/>
        <v>495</v>
      </c>
      <c r="F77" s="93"/>
      <c r="G77" s="93" t="s">
        <v>1682</v>
      </c>
      <c r="H77" s="93"/>
      <c r="I77" s="93"/>
      <c r="J77" s="93"/>
      <c r="K77" s="93"/>
      <c r="L77" s="93"/>
    </row>
    <row r="78" spans="1:12" ht="16.5" customHeight="1">
      <c r="B78" s="99" t="s">
        <v>1654</v>
      </c>
      <c r="C78" s="110">
        <v>1</v>
      </c>
      <c r="D78" s="110">
        <v>358</v>
      </c>
      <c r="E78" s="101">
        <f t="shared" si="1"/>
        <v>358</v>
      </c>
      <c r="F78" s="93"/>
      <c r="G78" s="93" t="s">
        <v>1655</v>
      </c>
      <c r="H78" s="93"/>
      <c r="I78" s="93"/>
      <c r="J78" s="93"/>
      <c r="K78" s="93"/>
      <c r="L78" s="93"/>
    </row>
    <row r="79" spans="1:12" ht="16.5" customHeight="1">
      <c r="B79" s="99" t="s">
        <v>1655</v>
      </c>
      <c r="C79" s="110">
        <v>3</v>
      </c>
      <c r="D79" s="110">
        <v>68</v>
      </c>
      <c r="E79" s="101">
        <f t="shared" si="1"/>
        <v>204</v>
      </c>
      <c r="F79" s="93"/>
      <c r="G79" s="93"/>
      <c r="H79" s="93"/>
      <c r="I79" s="93"/>
      <c r="J79" s="93"/>
      <c r="K79" s="93"/>
      <c r="L79" s="93"/>
    </row>
    <row r="80" spans="1:12" ht="16.5" customHeight="1">
      <c r="B80" s="99" t="s">
        <v>1683</v>
      </c>
      <c r="C80" s="110">
        <v>8</v>
      </c>
      <c r="D80" s="110">
        <v>29</v>
      </c>
      <c r="E80" s="101">
        <f t="shared" si="1"/>
        <v>232</v>
      </c>
      <c r="F80" s="93"/>
      <c r="G80" s="93"/>
      <c r="H80" s="93"/>
      <c r="I80" s="93"/>
      <c r="J80" s="93"/>
      <c r="K80" s="93"/>
      <c r="L80" s="93"/>
    </row>
    <row r="81" spans="1:12" ht="16.5" customHeight="1">
      <c r="B81" s="99" t="s">
        <v>1684</v>
      </c>
      <c r="C81" s="110">
        <v>4</v>
      </c>
      <c r="D81" s="110">
        <v>209</v>
      </c>
      <c r="E81" s="101">
        <f t="shared" si="1"/>
        <v>836</v>
      </c>
      <c r="F81" s="93"/>
      <c r="G81" s="93"/>
      <c r="H81" s="93"/>
      <c r="I81" s="93"/>
      <c r="J81" s="93"/>
      <c r="K81" s="93"/>
      <c r="L81" s="93"/>
    </row>
    <row r="82" spans="1:12" ht="16.5" customHeight="1">
      <c r="B82" s="99" t="s">
        <v>1656</v>
      </c>
      <c r="C82" s="110">
        <v>2</v>
      </c>
      <c r="D82" s="110">
        <v>169</v>
      </c>
      <c r="E82" s="101">
        <f t="shared" si="1"/>
        <v>338</v>
      </c>
      <c r="F82" s="93"/>
      <c r="G82" s="93"/>
      <c r="H82" s="93"/>
      <c r="I82" s="93"/>
      <c r="J82" s="93"/>
      <c r="K82" s="93"/>
      <c r="L82" s="93"/>
    </row>
    <row r="83" spans="1:12" ht="16.5" customHeight="1">
      <c r="B83" s="99"/>
      <c r="C83" s="110"/>
      <c r="D83" s="110"/>
      <c r="E83" s="101"/>
      <c r="F83" s="93"/>
      <c r="G83" s="93"/>
      <c r="H83" s="93"/>
      <c r="I83" s="93"/>
      <c r="J83" s="93"/>
      <c r="K83" s="93"/>
      <c r="L83" s="93"/>
    </row>
    <row r="84" spans="1:12" ht="16.5" customHeight="1">
      <c r="B84" s="105"/>
      <c r="C84" s="113"/>
      <c r="D84" s="113"/>
      <c r="E84" s="107"/>
      <c r="F84" s="93"/>
      <c r="G84" s="93"/>
      <c r="H84" s="93"/>
      <c r="I84" s="93"/>
      <c r="J84" s="93"/>
      <c r="K84" s="93"/>
      <c r="L84" s="93"/>
    </row>
    <row r="85" spans="1:12" ht="16.5" customHeight="1">
      <c r="F85" s="93"/>
      <c r="G85" s="93"/>
      <c r="H85" s="93"/>
      <c r="I85" s="93"/>
      <c r="J85" s="93"/>
      <c r="K85" s="93"/>
      <c r="L85" s="93"/>
    </row>
    <row r="86" spans="1:12" ht="16.5" customHeight="1"/>
    <row r="87" spans="1:12" s="93" customFormat="1" ht="16.5" customHeight="1">
      <c r="A87" s="94" t="s">
        <v>1255</v>
      </c>
      <c r="B87" s="93" t="s">
        <v>1747</v>
      </c>
    </row>
    <row r="88" spans="1:12" s="93" customFormat="1" ht="16.5" customHeight="1"/>
    <row r="89" spans="1:12" s="93" customFormat="1" ht="16.5" customHeight="1">
      <c r="B89" s="565" t="s">
        <v>1748</v>
      </c>
      <c r="C89" s="565"/>
      <c r="D89" s="565"/>
      <c r="E89" s="565"/>
      <c r="F89" s="565"/>
      <c r="G89" s="565"/>
      <c r="H89" s="565"/>
    </row>
    <row r="90" spans="1:12" s="93" customFormat="1" ht="16.5" customHeight="1">
      <c r="B90" s="187">
        <v>16</v>
      </c>
      <c r="C90" s="558" t="s">
        <v>1749</v>
      </c>
      <c r="D90" s="558"/>
      <c r="E90" s="558"/>
      <c r="F90" s="558"/>
      <c r="G90" s="558"/>
      <c r="H90" s="559"/>
    </row>
    <row r="91" spans="1:12" s="93" customFormat="1" ht="16.5" customHeight="1">
      <c r="B91" s="99" t="e">
        <f>3/0</f>
        <v>#DIV/0!</v>
      </c>
      <c r="C91" s="554" t="s">
        <v>1750</v>
      </c>
      <c r="D91" s="554"/>
      <c r="E91" s="554"/>
      <c r="F91" s="554"/>
      <c r="G91" s="554"/>
      <c r="H91" s="555"/>
    </row>
    <row r="92" spans="1:12" s="93" customFormat="1" ht="16.5" customHeight="1">
      <c r="B92" s="99" t="e">
        <f>VLOOKUP(A87,B74:E82,2,0)</f>
        <v>#N/A</v>
      </c>
      <c r="C92" s="554" t="s">
        <v>1751</v>
      </c>
      <c r="D92" s="554"/>
      <c r="E92" s="554"/>
      <c r="F92" s="554"/>
      <c r="G92" s="554"/>
      <c r="H92" s="555"/>
    </row>
    <row r="93" spans="1:12" s="93" customFormat="1" ht="16.5" customHeight="1">
      <c r="B93" s="99" t="e">
        <f ca="1">_xll.SUN(C74:C84)</f>
        <v>#NAME?</v>
      </c>
      <c r="C93" s="554" t="s">
        <v>1752</v>
      </c>
      <c r="D93" s="554"/>
      <c r="E93" s="554"/>
      <c r="F93" s="554"/>
      <c r="G93" s="554"/>
      <c r="H93" s="555"/>
    </row>
    <row r="94" spans="1:12" s="93" customFormat="1" ht="16.5" customHeight="1">
      <c r="B94" s="99" t="e">
        <f>SUM(B74:C84 D74:E84)</f>
        <v>#NULL!</v>
      </c>
      <c r="C94" s="554" t="s">
        <v>1753</v>
      </c>
      <c r="D94" s="554"/>
      <c r="E94" s="554"/>
      <c r="F94" s="554"/>
      <c r="G94" s="554"/>
      <c r="H94" s="555"/>
    </row>
    <row r="95" spans="1:12" s="93" customFormat="1" ht="16.5" customHeight="1">
      <c r="B95" s="141" t="e">
        <f>DATE(50000,1,1)</f>
        <v>#NUM!</v>
      </c>
      <c r="C95" s="554" t="s">
        <v>1754</v>
      </c>
      <c r="D95" s="554"/>
      <c r="E95" s="554"/>
      <c r="F95" s="554"/>
      <c r="G95" s="554"/>
      <c r="H95" s="555"/>
    </row>
    <row r="96" spans="1:12" s="93" customFormat="1" ht="16.5" customHeight="1">
      <c r="B96" s="99" t="e">
        <f>MAX("DEKIRU")</f>
        <v>#VALUE!</v>
      </c>
      <c r="C96" s="554" t="s">
        <v>1755</v>
      </c>
      <c r="D96" s="554"/>
      <c r="E96" s="554"/>
      <c r="F96" s="554"/>
      <c r="G96" s="554"/>
      <c r="H96" s="555"/>
    </row>
    <row r="97" spans="1:8" s="93" customFormat="1" ht="16.5" customHeight="1">
      <c r="B97" s="105" t="e">
        <v>#REF!</v>
      </c>
      <c r="C97" s="556" t="s">
        <v>1756</v>
      </c>
      <c r="D97" s="556"/>
      <c r="E97" s="556"/>
      <c r="F97" s="556"/>
      <c r="G97" s="556"/>
      <c r="H97" s="557"/>
    </row>
    <row r="98" spans="1:8" s="93" customFormat="1" ht="16.5" customHeight="1"/>
    <row r="99" spans="1:8" s="93" customFormat="1" ht="16.5" customHeight="1">
      <c r="B99" s="93" t="s">
        <v>1757</v>
      </c>
    </row>
    <row r="100" spans="1:8" s="93" customFormat="1" ht="16.5" customHeight="1">
      <c r="C100" s="104" t="s">
        <v>1238</v>
      </c>
    </row>
    <row r="101" spans="1:8" s="93" customFormat="1" ht="16.5" customHeight="1">
      <c r="B101" s="93" t="e">
        <f>SUM(B90:B97)</f>
        <v>#DIV/0!</v>
      </c>
      <c r="C101" s="158" t="s">
        <v>1758</v>
      </c>
    </row>
    <row r="102" spans="1:8" s="93" customFormat="1" ht="16.5" customHeight="1">
      <c r="B102" s="93" t="s">
        <v>1759</v>
      </c>
    </row>
    <row r="103" spans="1:8" s="93" customFormat="1" ht="16.5" customHeight="1">
      <c r="B103" s="93">
        <f ca="1">SUMIF(B90:B97,"&lt;9e307")</f>
        <v>16</v>
      </c>
      <c r="C103" s="158" t="s">
        <v>1760</v>
      </c>
    </row>
    <row r="104" spans="1:8" s="93" customFormat="1" ht="16.5" customHeight="1">
      <c r="B104" s="153" t="s">
        <v>1761</v>
      </c>
    </row>
    <row r="105" spans="1:8" s="93" customFormat="1" ht="16.5" customHeight="1"/>
    <row r="106" spans="1:8" s="93" customFormat="1" ht="16.5" customHeight="1"/>
    <row r="107" spans="1:8" s="93" customFormat="1" ht="16.5" customHeight="1"/>
    <row r="108" spans="1:8" s="93" customFormat="1" ht="16.5" customHeight="1">
      <c r="A108" s="94" t="s">
        <v>1660</v>
      </c>
      <c r="B108" s="93" t="s">
        <v>1762</v>
      </c>
    </row>
    <row r="109" spans="1:8" s="93" customFormat="1" ht="16.5" customHeight="1">
      <c r="C109" s="93" t="s">
        <v>1763</v>
      </c>
      <c r="D109" s="104" t="s">
        <v>1238</v>
      </c>
    </row>
    <row r="110" spans="1:8" ht="16.5" customHeight="1">
      <c r="B110" s="329">
        <v>417</v>
      </c>
      <c r="C110" s="4">
        <f>SUMIF(B110:B118,B110)</f>
        <v>834</v>
      </c>
      <c r="D110" s="108" t="s">
        <v>1764</v>
      </c>
    </row>
    <row r="111" spans="1:8" ht="16.5" customHeight="1">
      <c r="B111" s="196">
        <v>210</v>
      </c>
    </row>
    <row r="112" spans="1:8" ht="16.5" customHeight="1">
      <c r="B112" s="196">
        <v>418</v>
      </c>
    </row>
    <row r="113" spans="2:2" ht="16.5" customHeight="1">
      <c r="B113" s="196">
        <v>495</v>
      </c>
    </row>
    <row r="114" spans="2:2" ht="16.5" customHeight="1">
      <c r="B114" s="196">
        <v>358</v>
      </c>
    </row>
    <row r="115" spans="2:2" ht="16.5" customHeight="1">
      <c r="B115" s="196">
        <v>204</v>
      </c>
    </row>
    <row r="116" spans="2:2" ht="16.5" customHeight="1">
      <c r="B116" s="196">
        <v>232</v>
      </c>
    </row>
    <row r="117" spans="2:2" ht="16.5" customHeight="1">
      <c r="B117" s="196">
        <v>836</v>
      </c>
    </row>
    <row r="118" spans="2:2" ht="16.5" customHeight="1">
      <c r="B118" s="330">
        <v>417</v>
      </c>
    </row>
  </sheetData>
  <mergeCells count="61">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B15:E15"/>
    <mergeCell ref="B29:D29"/>
    <mergeCell ref="B30:D30"/>
    <mergeCell ref="B31:D31"/>
    <mergeCell ref="B32:D32"/>
    <mergeCell ref="B60:D60"/>
    <mergeCell ref="E60:F60"/>
    <mergeCell ref="F36:G36"/>
    <mergeCell ref="H36:O36"/>
    <mergeCell ref="C37:E37"/>
    <mergeCell ref="F37:G37"/>
    <mergeCell ref="H37:O37"/>
    <mergeCell ref="C38:E38"/>
    <mergeCell ref="F38:G38"/>
    <mergeCell ref="H38:O38"/>
    <mergeCell ref="C36:E36"/>
    <mergeCell ref="F39:G39"/>
    <mergeCell ref="H39:O39"/>
    <mergeCell ref="F40:G40"/>
    <mergeCell ref="H40:O40"/>
    <mergeCell ref="B47:J47"/>
    <mergeCell ref="B61:D61"/>
    <mergeCell ref="E61:F61"/>
    <mergeCell ref="B62:D62"/>
    <mergeCell ref="E62:F62"/>
    <mergeCell ref="B63:D63"/>
    <mergeCell ref="E63:F63"/>
    <mergeCell ref="C96:H96"/>
    <mergeCell ref="C97:H97"/>
    <mergeCell ref="B39:B40"/>
    <mergeCell ref="C39:E40"/>
    <mergeCell ref="C90:H90"/>
    <mergeCell ref="C91:H91"/>
    <mergeCell ref="C92:H92"/>
    <mergeCell ref="C93:H93"/>
    <mergeCell ref="C94:H94"/>
    <mergeCell ref="C95:H95"/>
    <mergeCell ref="B64:D64"/>
    <mergeCell ref="E64:F64"/>
    <mergeCell ref="B65:D65"/>
    <mergeCell ref="E65:F65"/>
    <mergeCell ref="B72:E72"/>
    <mergeCell ref="B89:H89"/>
  </mergeCells>
  <phoneticPr fontId="2" type="noConversion"/>
  <pageMargins left="0.75" right="0.75" top="1" bottom="1" header="0.5" footer="0.5"/>
  <pageSetup paperSize="9" orientation="portrait" horizontalDpi="0" verticalDpi="0"/>
  <headerFooter scaleWithDoc="0"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0"/>
  <dimension ref="A1:AV12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832</v>
      </c>
      <c r="B1" s="498"/>
      <c r="C1" s="499"/>
      <c r="D1" s="87"/>
      <c r="E1" s="500" t="str">
        <f>HYPERLINK("#目录!A465","跳转回到目录页")</f>
        <v>跳转回到目录页</v>
      </c>
      <c r="F1" s="501"/>
    </row>
    <row r="2" spans="1:48" s="88" customFormat="1" ht="26.25" customHeight="1">
      <c r="A2" s="502" t="s">
        <v>1216</v>
      </c>
      <c r="B2" s="502"/>
      <c r="C2" s="503" t="s">
        <v>663</v>
      </c>
      <c r="D2" s="503"/>
      <c r="E2" s="503"/>
      <c r="F2" s="503"/>
      <c r="G2" s="503"/>
      <c r="H2" s="503"/>
      <c r="I2" s="503"/>
      <c r="J2" s="503"/>
      <c r="K2" s="503"/>
      <c r="L2" s="503"/>
      <c r="M2" s="503"/>
    </row>
    <row r="3" spans="1:48" s="88" customFormat="1" ht="16.5" customHeight="1">
      <c r="A3" s="496" t="s">
        <v>1217</v>
      </c>
      <c r="B3" s="496"/>
      <c r="C3" s="493" t="s">
        <v>5218</v>
      </c>
      <c r="D3" s="493"/>
      <c r="E3" s="493"/>
      <c r="F3" s="493"/>
      <c r="G3" s="493"/>
      <c r="H3" s="493"/>
      <c r="I3" s="493"/>
      <c r="J3" s="493"/>
      <c r="K3" s="493"/>
      <c r="L3" s="493"/>
      <c r="M3" s="493"/>
    </row>
    <row r="4" spans="1:48" s="88" customFormat="1" ht="16.5" customHeight="1">
      <c r="A4" s="496" t="s">
        <v>5786</v>
      </c>
      <c r="B4" s="496"/>
      <c r="C4" s="497" t="s">
        <v>5218</v>
      </c>
      <c r="D4" s="497"/>
      <c r="E4" s="497"/>
      <c r="F4" s="497"/>
      <c r="G4" s="497"/>
      <c r="H4" s="497"/>
      <c r="I4" s="497"/>
      <c r="J4" s="497"/>
      <c r="K4" s="497"/>
      <c r="L4" s="497"/>
      <c r="M4" s="497"/>
    </row>
    <row r="5" spans="1:48" s="88" customFormat="1" ht="16.5" customHeight="1">
      <c r="A5" s="496" t="s">
        <v>1220</v>
      </c>
      <c r="B5" s="496"/>
      <c r="C5" s="493" t="s">
        <v>5219</v>
      </c>
      <c r="D5" s="493"/>
      <c r="E5" s="493"/>
      <c r="F5" s="493"/>
      <c r="G5" s="493"/>
      <c r="H5" s="493"/>
      <c r="I5" s="493"/>
      <c r="J5" s="493"/>
      <c r="K5" s="493"/>
      <c r="L5" s="493"/>
      <c r="M5" s="493"/>
    </row>
    <row r="6" spans="1:48" s="88" customFormat="1" ht="16.5" customHeight="1">
      <c r="A6" s="496" t="s">
        <v>5785</v>
      </c>
      <c r="B6" s="496"/>
      <c r="C6" s="493" t="s">
        <v>5220</v>
      </c>
      <c r="D6" s="493"/>
      <c r="E6" s="493"/>
      <c r="F6" s="493"/>
      <c r="G6" s="493"/>
      <c r="H6" s="493"/>
      <c r="I6" s="493"/>
      <c r="J6" s="493"/>
      <c r="K6" s="493"/>
      <c r="L6" s="493"/>
      <c r="M6" s="493"/>
    </row>
    <row r="7" spans="1:48" s="88" customFormat="1" ht="16.5" customHeight="1">
      <c r="A7" s="89" t="s">
        <v>1223</v>
      </c>
      <c r="B7" s="92" t="s">
        <v>1978</v>
      </c>
      <c r="C7" s="493" t="s">
        <v>5221</v>
      </c>
      <c r="D7" s="493"/>
      <c r="E7" s="493"/>
      <c r="F7" s="493"/>
      <c r="G7" s="493"/>
      <c r="H7" s="493"/>
      <c r="I7" s="493"/>
      <c r="J7" s="493"/>
      <c r="K7" s="493"/>
      <c r="L7" s="493"/>
      <c r="M7" s="493"/>
    </row>
    <row r="8" spans="1:48" s="88" customFormat="1" ht="16.5" customHeight="1">
      <c r="A8" s="89"/>
      <c r="B8" s="92" t="s">
        <v>5222</v>
      </c>
      <c r="C8" s="493" t="s">
        <v>5223</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62.25" customHeight="1">
      <c r="A11" s="89" t="s">
        <v>1229</v>
      </c>
      <c r="B11" s="673" t="s">
        <v>5224</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1431</v>
      </c>
      <c r="C17" s="104" t="s">
        <v>1238</v>
      </c>
      <c r="D17" s="94"/>
      <c r="E17" s="94" t="s">
        <v>4885</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f>DELTA(5,4)</f>
        <v>0</v>
      </c>
      <c r="C18" s="108" t="s">
        <v>5225</v>
      </c>
      <c r="E18" s="93" t="s">
        <v>5226</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f>DELTA(5,5)</f>
        <v>1</v>
      </c>
      <c r="C19" s="108" t="s">
        <v>5227</v>
      </c>
      <c r="E19" s="93" t="s">
        <v>5228</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f>DELTA(0.5,0)</f>
        <v>0</v>
      </c>
      <c r="C20" s="108" t="s">
        <v>5229</v>
      </c>
      <c r="E20" s="93" t="s">
        <v>5230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909</v>
      </c>
      <c r="B100" s="498"/>
      <c r="C100" s="499"/>
      <c r="D100" s="87"/>
      <c r="E100" s="500" t="str">
        <f>HYPERLINK("#目录!A466","跳转回到目录页")</f>
        <v>跳转回到目录页</v>
      </c>
      <c r="F100" s="501"/>
    </row>
    <row r="101" spans="1:13" s="88" customFormat="1" ht="26.25" customHeight="1">
      <c r="A101" s="502" t="s">
        <v>1216</v>
      </c>
      <c r="B101" s="502"/>
      <c r="C101" s="503" t="s">
        <v>664</v>
      </c>
      <c r="D101" s="503"/>
      <c r="E101" s="503"/>
      <c r="F101" s="503"/>
      <c r="G101" s="503"/>
      <c r="H101" s="503"/>
      <c r="I101" s="503"/>
      <c r="J101" s="503"/>
      <c r="K101" s="503"/>
      <c r="L101" s="503"/>
      <c r="M101" s="503"/>
    </row>
    <row r="102" spans="1:13" s="88" customFormat="1" ht="16.5" customHeight="1">
      <c r="A102" s="496" t="s">
        <v>1217</v>
      </c>
      <c r="B102" s="496"/>
      <c r="C102" s="493" t="s">
        <v>664</v>
      </c>
      <c r="D102" s="493"/>
      <c r="E102" s="493"/>
      <c r="F102" s="493"/>
      <c r="G102" s="493"/>
      <c r="H102" s="493"/>
      <c r="I102" s="493"/>
      <c r="J102" s="493"/>
      <c r="K102" s="493"/>
      <c r="L102" s="493"/>
      <c r="M102" s="493"/>
    </row>
    <row r="103" spans="1:13" s="88" customFormat="1" ht="16.5" customHeight="1">
      <c r="A103" s="496" t="s">
        <v>5786</v>
      </c>
      <c r="B103" s="496"/>
      <c r="C103" s="497" t="s">
        <v>664</v>
      </c>
      <c r="D103" s="497"/>
      <c r="E103" s="497"/>
      <c r="F103" s="497"/>
      <c r="G103" s="497"/>
      <c r="H103" s="497"/>
      <c r="I103" s="497"/>
      <c r="J103" s="497"/>
      <c r="K103" s="497"/>
      <c r="L103" s="497"/>
      <c r="M103" s="497"/>
    </row>
    <row r="104" spans="1:13" s="88" customFormat="1" ht="16.5" customHeight="1">
      <c r="A104" s="496" t="s">
        <v>1220</v>
      </c>
      <c r="B104" s="496"/>
      <c r="C104" s="493" t="s">
        <v>5231</v>
      </c>
      <c r="D104" s="493"/>
      <c r="E104" s="493"/>
      <c r="F104" s="493"/>
      <c r="G104" s="493"/>
      <c r="H104" s="493"/>
      <c r="I104" s="493"/>
      <c r="J104" s="493"/>
      <c r="K104" s="493"/>
      <c r="L104" s="493"/>
      <c r="M104" s="493"/>
    </row>
    <row r="105" spans="1:13" s="88" customFormat="1" ht="16.5" customHeight="1">
      <c r="A105" s="496" t="s">
        <v>5785</v>
      </c>
      <c r="B105" s="496"/>
      <c r="C105" s="493" t="s">
        <v>5232</v>
      </c>
      <c r="D105" s="493"/>
      <c r="E105" s="493"/>
      <c r="F105" s="493"/>
      <c r="G105" s="493"/>
      <c r="H105" s="493"/>
      <c r="I105" s="493"/>
      <c r="J105" s="493"/>
      <c r="K105" s="493"/>
      <c r="L105" s="493"/>
      <c r="M105" s="493"/>
    </row>
    <row r="106" spans="1:13" s="88" customFormat="1" ht="16.5" customHeight="1">
      <c r="A106" s="89" t="s">
        <v>1223</v>
      </c>
      <c r="B106" s="92" t="s">
        <v>2200</v>
      </c>
      <c r="C106" s="493" t="s">
        <v>5233</v>
      </c>
      <c r="D106" s="493"/>
      <c r="E106" s="493"/>
      <c r="F106" s="493"/>
      <c r="G106" s="493"/>
      <c r="H106" s="493"/>
      <c r="I106" s="493"/>
      <c r="J106" s="493"/>
      <c r="K106" s="493"/>
      <c r="L106" s="493"/>
      <c r="M106" s="493"/>
    </row>
    <row r="107" spans="1:13" s="88" customFormat="1" ht="16.5" customHeight="1">
      <c r="A107" s="89"/>
      <c r="B107" s="92" t="s">
        <v>5234</v>
      </c>
      <c r="C107" s="493" t="s">
        <v>5235</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51" customHeight="1">
      <c r="A110" s="89" t="s">
        <v>1229</v>
      </c>
      <c r="B110" s="673" t="s">
        <v>5236</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c r="D113" s="4"/>
      <c r="E113" s="4"/>
      <c r="F113" s="4"/>
      <c r="G113" s="4"/>
      <c r="H113" s="4"/>
      <c r="I113" s="4"/>
    </row>
    <row r="114" spans="1:48" s="93" customFormat="1" ht="16.5" customHeight="1">
      <c r="D114" s="4"/>
      <c r="E114" s="4"/>
      <c r="F114" s="4"/>
      <c r="G114" s="4"/>
      <c r="H114" s="4"/>
      <c r="I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s="93" customFormat="1" ht="16.5" customHeight="1">
      <c r="D115" s="4"/>
      <c r="E115" s="4"/>
      <c r="F115" s="4"/>
      <c r="G115" s="4"/>
      <c r="H115" s="4"/>
      <c r="I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pans="1:48" s="93" customFormat="1" ht="16.5" customHeight="1">
      <c r="B116" s="94" t="s">
        <v>1431</v>
      </c>
      <c r="C116" s="104" t="s">
        <v>1238</v>
      </c>
      <c r="E116" s="4"/>
      <c r="F116" s="94" t="s">
        <v>4885</v>
      </c>
      <c r="G116" s="4"/>
      <c r="H116" s="4"/>
      <c r="I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spans="1:48" s="93" customFormat="1" ht="16.5" customHeight="1">
      <c r="B117" s="93">
        <f>GESTEP(5,4)</f>
        <v>1</v>
      </c>
      <c r="C117" s="108" t="s">
        <v>5237</v>
      </c>
      <c r="E117" s="4"/>
      <c r="F117" s="93" t="s">
        <v>5238</v>
      </c>
      <c r="G117" s="4"/>
      <c r="H117" s="4"/>
      <c r="I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row>
    <row r="118" spans="1:48" s="93" customFormat="1" ht="16.5" customHeight="1">
      <c r="B118" s="93">
        <f>GESTEP(5,5)</f>
        <v>1</v>
      </c>
      <c r="C118" s="108" t="s">
        <v>5239</v>
      </c>
      <c r="E118" s="4"/>
      <c r="F118" s="93" t="s">
        <v>5240</v>
      </c>
      <c r="G118" s="4"/>
      <c r="H118" s="4"/>
      <c r="I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pans="1:48" s="93" customFormat="1" ht="16.5" customHeight="1">
      <c r="B119" s="93">
        <f>GESTEP(-4,-5)</f>
        <v>1</v>
      </c>
      <c r="C119" s="108" t="s">
        <v>5241</v>
      </c>
      <c r="E119" s="4"/>
      <c r="F119" s="93" t="s">
        <v>5242</v>
      </c>
      <c r="G119" s="4"/>
      <c r="H119" s="4"/>
      <c r="I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spans="1:48" s="93" customFormat="1" ht="16.5" customHeight="1">
      <c r="B120" s="93">
        <f>GESTEP(-1,0)</f>
        <v>0</v>
      </c>
      <c r="C120" s="108" t="s">
        <v>5243</v>
      </c>
      <c r="E120" s="4"/>
      <c r="F120" s="93" t="s">
        <v>5244</v>
      </c>
      <c r="G120" s="4"/>
      <c r="H120" s="4"/>
      <c r="I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4" spans="1:48">
      <c r="H124" s="93"/>
    </row>
    <row r="125" spans="1:48">
      <c r="H125" s="93"/>
    </row>
    <row r="126" spans="1:48">
      <c r="H126" s="93"/>
    </row>
    <row r="127" spans="1:48">
      <c r="H127" s="93"/>
    </row>
    <row r="128" spans="1:48">
      <c r="H128" s="93"/>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1"/>
  <dimension ref="A1:M81"/>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783</v>
      </c>
      <c r="B1" s="498"/>
      <c r="C1" s="499"/>
      <c r="D1" s="87"/>
      <c r="E1" s="500" t="str">
        <f>HYPERLINK("#目录!A468","跳转回到目录页")</f>
        <v>跳转回到目录页</v>
      </c>
      <c r="F1" s="501"/>
    </row>
    <row r="2" spans="1:13" s="88" customFormat="1" ht="26.25" customHeight="1">
      <c r="A2" s="502" t="s">
        <v>1216</v>
      </c>
      <c r="B2" s="502"/>
      <c r="C2" s="503" t="s">
        <v>666</v>
      </c>
      <c r="D2" s="503"/>
      <c r="E2" s="503"/>
      <c r="F2" s="503"/>
      <c r="G2" s="503"/>
      <c r="H2" s="503"/>
      <c r="I2" s="503"/>
      <c r="J2" s="503"/>
      <c r="K2" s="503"/>
      <c r="L2" s="503"/>
      <c r="M2" s="503"/>
    </row>
    <row r="3" spans="1:13" s="88" customFormat="1" ht="24.75" customHeight="1">
      <c r="A3" s="496" t="s">
        <v>1217</v>
      </c>
      <c r="B3" s="496"/>
      <c r="C3" s="493" t="s">
        <v>5245</v>
      </c>
      <c r="D3" s="493"/>
      <c r="E3" s="493"/>
      <c r="F3" s="493"/>
      <c r="G3" s="493"/>
      <c r="H3" s="493"/>
      <c r="I3" s="493"/>
      <c r="J3" s="493"/>
      <c r="K3" s="493"/>
      <c r="L3" s="493"/>
      <c r="M3" s="493"/>
    </row>
    <row r="4" spans="1:13" s="88" customFormat="1" ht="16.5" customHeight="1">
      <c r="A4" s="496" t="s">
        <v>5786</v>
      </c>
      <c r="B4" s="496"/>
      <c r="C4" s="497" t="s">
        <v>666</v>
      </c>
      <c r="D4" s="497"/>
      <c r="E4" s="497"/>
      <c r="F4" s="497"/>
      <c r="G4" s="497"/>
      <c r="H4" s="497"/>
      <c r="I4" s="497"/>
      <c r="J4" s="497"/>
      <c r="K4" s="497"/>
      <c r="L4" s="497"/>
      <c r="M4" s="497"/>
    </row>
    <row r="5" spans="1:13" s="88" customFormat="1" ht="16.5" customHeight="1">
      <c r="A5" s="496" t="s">
        <v>1220</v>
      </c>
      <c r="B5" s="496"/>
      <c r="C5" s="493" t="s">
        <v>5246</v>
      </c>
      <c r="D5" s="493"/>
      <c r="E5" s="493"/>
      <c r="F5" s="493"/>
      <c r="G5" s="493"/>
      <c r="H5" s="493"/>
      <c r="I5" s="493"/>
      <c r="J5" s="493"/>
      <c r="K5" s="493"/>
      <c r="L5" s="493"/>
      <c r="M5" s="493"/>
    </row>
    <row r="6" spans="1:13" s="88" customFormat="1" ht="16.5" customHeight="1">
      <c r="A6" s="496" t="s">
        <v>5785</v>
      </c>
      <c r="B6" s="496"/>
      <c r="C6" s="493" t="s">
        <v>5247</v>
      </c>
      <c r="D6" s="493"/>
      <c r="E6" s="493"/>
      <c r="F6" s="493"/>
      <c r="G6" s="493"/>
      <c r="H6" s="493"/>
      <c r="I6" s="493"/>
      <c r="J6" s="493"/>
      <c r="K6" s="493"/>
      <c r="L6" s="493"/>
      <c r="M6" s="493"/>
    </row>
    <row r="7" spans="1:13" s="88" customFormat="1" ht="16.5" customHeight="1">
      <c r="A7" s="89" t="s">
        <v>1223</v>
      </c>
      <c r="B7" s="92" t="s">
        <v>2200</v>
      </c>
      <c r="C7" s="493" t="s">
        <v>5248</v>
      </c>
      <c r="D7" s="493"/>
      <c r="E7" s="493"/>
      <c r="F7" s="493"/>
      <c r="G7" s="493"/>
      <c r="H7" s="493"/>
      <c r="I7" s="493"/>
      <c r="J7" s="493"/>
      <c r="K7" s="493"/>
      <c r="L7" s="493"/>
      <c r="M7" s="493"/>
    </row>
    <row r="8" spans="1:13" s="88" customFormat="1" ht="16.5" customHeight="1">
      <c r="A8" s="89"/>
      <c r="B8" s="92" t="s">
        <v>5249</v>
      </c>
      <c r="C8" s="493" t="s">
        <v>5250</v>
      </c>
      <c r="D8" s="493"/>
      <c r="E8" s="493"/>
      <c r="F8" s="493"/>
      <c r="G8" s="493"/>
      <c r="H8" s="493"/>
      <c r="I8" s="493"/>
      <c r="J8" s="493"/>
      <c r="K8" s="493"/>
      <c r="L8" s="493"/>
      <c r="M8" s="493"/>
    </row>
    <row r="9" spans="1:13" s="88" customFormat="1" ht="16.5" customHeight="1">
      <c r="A9" s="89"/>
      <c r="B9" s="90" t="s">
        <v>5251</v>
      </c>
      <c r="C9" s="493" t="s">
        <v>5252</v>
      </c>
      <c r="D9" s="493"/>
      <c r="E9" s="493"/>
      <c r="F9" s="493"/>
      <c r="G9" s="493"/>
      <c r="H9" s="493"/>
      <c r="I9" s="493"/>
      <c r="J9" s="493"/>
      <c r="K9" s="493"/>
      <c r="L9" s="493"/>
      <c r="M9" s="493"/>
    </row>
    <row r="10" spans="1:13" s="88" customFormat="1" ht="16.5" customHeight="1">
      <c r="A10" s="89" t="s">
        <v>1228</v>
      </c>
      <c r="B10" s="493"/>
      <c r="C10" s="493"/>
      <c r="D10" s="493"/>
      <c r="E10" s="493"/>
      <c r="F10" s="493"/>
      <c r="G10" s="493"/>
      <c r="H10" s="493"/>
      <c r="I10" s="493"/>
      <c r="J10" s="493"/>
      <c r="K10" s="493"/>
      <c r="L10" s="493"/>
      <c r="M10" s="493"/>
    </row>
    <row r="11" spans="1:13" ht="72.75" customHeight="1">
      <c r="A11" s="89" t="s">
        <v>1229</v>
      </c>
      <c r="B11" s="673" t="s">
        <v>5253</v>
      </c>
      <c r="C11" s="673"/>
      <c r="D11" s="673"/>
      <c r="E11" s="673"/>
      <c r="F11" s="673"/>
      <c r="G11" s="673"/>
      <c r="H11" s="673"/>
      <c r="I11" s="673"/>
      <c r="J11" s="673"/>
      <c r="K11" s="673"/>
      <c r="L11" s="673"/>
      <c r="M11" s="673"/>
    </row>
    <row r="12" spans="1:13" ht="21" customHeight="1">
      <c r="B12" s="494" t="s">
        <v>2863</v>
      </c>
      <c r="C12" s="494"/>
      <c r="D12" s="494"/>
      <c r="E12" s="494"/>
      <c r="F12" s="494"/>
      <c r="G12" s="494"/>
      <c r="H12" s="494"/>
      <c r="I12" s="494"/>
      <c r="J12" s="494"/>
      <c r="K12" s="494"/>
      <c r="L12" s="495"/>
    </row>
    <row r="13" spans="1:13" s="93" customFormat="1" ht="16.5" customHeight="1"/>
    <row r="14" spans="1:13" s="93" customFormat="1" ht="16.5" customHeight="1">
      <c r="A14" s="94" t="s">
        <v>1232</v>
      </c>
      <c r="B14" s="93" t="s">
        <v>1773</v>
      </c>
    </row>
    <row r="15" spans="1:13" s="93" customFormat="1" ht="16.5" customHeight="1"/>
    <row r="16" spans="1:13" s="93" customFormat="1" ht="16.5" customHeight="1">
      <c r="E16" s="93" t="s">
        <v>3592</v>
      </c>
    </row>
    <row r="17" spans="1:12" s="93" customFormat="1" ht="16.5" customHeight="1">
      <c r="B17" s="95" t="s">
        <v>5254</v>
      </c>
      <c r="C17" s="504" t="s">
        <v>5255</v>
      </c>
      <c r="D17" s="505"/>
      <c r="F17" s="95" t="s">
        <v>5256</v>
      </c>
      <c r="G17" s="504" t="s">
        <v>5255</v>
      </c>
      <c r="H17" s="505"/>
      <c r="J17" s="95" t="s">
        <v>5257</v>
      </c>
      <c r="K17" s="504" t="s">
        <v>5255</v>
      </c>
      <c r="L17" s="505"/>
    </row>
    <row r="18" spans="1:12" s="93" customFormat="1" ht="16.5" customHeight="1">
      <c r="B18" s="111" t="s">
        <v>5258</v>
      </c>
      <c r="C18" s="488" t="s">
        <v>5259</v>
      </c>
      <c r="D18" s="639"/>
      <c r="F18" s="111" t="s">
        <v>5260</v>
      </c>
      <c r="G18" s="488" t="s">
        <v>5261</v>
      </c>
      <c r="H18" s="639"/>
      <c r="J18" s="111" t="s">
        <v>5262</v>
      </c>
      <c r="K18" s="488" t="s">
        <v>5263</v>
      </c>
      <c r="L18" s="639"/>
    </row>
    <row r="19" spans="1:12" s="93" customFormat="1" ht="16.5" customHeight="1">
      <c r="B19" s="111" t="s">
        <v>5264</v>
      </c>
      <c r="C19" s="488" t="s">
        <v>5265</v>
      </c>
      <c r="D19" s="639"/>
      <c r="F19" s="111" t="s">
        <v>5266</v>
      </c>
      <c r="G19" s="488" t="s">
        <v>5267</v>
      </c>
      <c r="H19" s="639"/>
      <c r="J19" s="111" t="s">
        <v>5268</v>
      </c>
      <c r="K19" s="488" t="s">
        <v>5269</v>
      </c>
      <c r="L19" s="639"/>
    </row>
    <row r="20" spans="1:12" s="93" customFormat="1" ht="16.5" customHeight="1">
      <c r="B20" s="111" t="s">
        <v>5270</v>
      </c>
      <c r="C20" s="488" t="s">
        <v>5271</v>
      </c>
      <c r="D20" s="639"/>
      <c r="F20" s="111" t="s">
        <v>5272</v>
      </c>
      <c r="G20" s="488" t="s">
        <v>5273</v>
      </c>
      <c r="H20" s="639"/>
      <c r="J20" s="111" t="s">
        <v>5274</v>
      </c>
      <c r="K20" s="488" t="s">
        <v>5275</v>
      </c>
      <c r="L20" s="639"/>
    </row>
    <row r="21" spans="1:12" s="93" customFormat="1" ht="16.5" customHeight="1">
      <c r="B21" s="139" t="s">
        <v>5276</v>
      </c>
      <c r="C21" s="488" t="s">
        <v>5277</v>
      </c>
      <c r="D21" s="639"/>
      <c r="F21" s="111" t="s">
        <v>5278</v>
      </c>
      <c r="G21" s="488" t="s">
        <v>5279</v>
      </c>
      <c r="H21" s="639"/>
      <c r="J21" s="111" t="s">
        <v>5280</v>
      </c>
      <c r="K21" s="488" t="s">
        <v>5281</v>
      </c>
      <c r="L21" s="639"/>
    </row>
    <row r="22" spans="1:12" s="93" customFormat="1" ht="16.5" customHeight="1">
      <c r="B22" s="140" t="s">
        <v>5282</v>
      </c>
      <c r="C22" s="489" t="s">
        <v>5283</v>
      </c>
      <c r="D22" s="640"/>
      <c r="F22" s="111" t="s">
        <v>5284</v>
      </c>
      <c r="G22" s="488" t="s">
        <v>5285</v>
      </c>
      <c r="H22" s="639"/>
      <c r="J22" s="111" t="s">
        <v>5286</v>
      </c>
      <c r="K22" s="488" t="s">
        <v>5287</v>
      </c>
      <c r="L22" s="639"/>
    </row>
    <row r="23" spans="1:12" s="93" customFormat="1" ht="16.5" customHeight="1">
      <c r="A23" s="94"/>
      <c r="F23" s="111" t="s">
        <v>5288</v>
      </c>
      <c r="G23" s="488" t="s">
        <v>5289</v>
      </c>
      <c r="H23" s="639"/>
      <c r="J23" s="111" t="s">
        <v>5290</v>
      </c>
      <c r="K23" s="488" t="s">
        <v>5291</v>
      </c>
      <c r="L23" s="639"/>
    </row>
    <row r="24" spans="1:12" s="93" customFormat="1" ht="16.5" customHeight="1">
      <c r="F24" s="111" t="s">
        <v>5292</v>
      </c>
      <c r="G24" s="488" t="s">
        <v>5293</v>
      </c>
      <c r="H24" s="639"/>
      <c r="J24" s="111" t="s">
        <v>5294</v>
      </c>
      <c r="K24" s="488" t="s">
        <v>5295</v>
      </c>
      <c r="L24" s="639"/>
    </row>
    <row r="25" spans="1:12" s="93" customFormat="1" ht="16.5" customHeight="1">
      <c r="F25" s="140" t="s">
        <v>5296</v>
      </c>
      <c r="G25" s="489" t="s">
        <v>5297</v>
      </c>
      <c r="H25" s="640"/>
      <c r="J25" s="111" t="s">
        <v>5298</v>
      </c>
      <c r="K25" s="488" t="s">
        <v>5299</v>
      </c>
      <c r="L25" s="639"/>
    </row>
    <row r="26" spans="1:12" s="93" customFormat="1" ht="16.5" customHeight="1">
      <c r="J26" s="151" t="s">
        <v>5300</v>
      </c>
      <c r="K26" s="489" t="s">
        <v>5301</v>
      </c>
      <c r="L26" s="640"/>
    </row>
    <row r="27" spans="1:12" ht="16.5" customHeight="1"/>
    <row r="28" spans="1:12" s="93" customFormat="1" ht="16.5" customHeight="1">
      <c r="B28" s="95" t="s">
        <v>5302</v>
      </c>
      <c r="C28" s="504" t="s">
        <v>5255</v>
      </c>
      <c r="D28" s="505"/>
      <c r="F28" s="95" t="s">
        <v>5303</v>
      </c>
      <c r="G28" s="504" t="s">
        <v>5255</v>
      </c>
      <c r="H28" s="505"/>
      <c r="J28" s="95" t="s">
        <v>5304</v>
      </c>
      <c r="K28" s="504" t="s">
        <v>5255</v>
      </c>
      <c r="L28" s="505"/>
    </row>
    <row r="29" spans="1:12" s="93" customFormat="1" ht="16.5" customHeight="1">
      <c r="B29" s="111" t="s">
        <v>5305</v>
      </c>
      <c r="C29" s="488" t="s">
        <v>5306</v>
      </c>
      <c r="D29" s="639"/>
      <c r="F29" s="111" t="s">
        <v>5307</v>
      </c>
      <c r="G29" s="488" t="s">
        <v>5308</v>
      </c>
      <c r="H29" s="639"/>
      <c r="J29" s="111" t="s">
        <v>5309</v>
      </c>
      <c r="K29" s="488" t="s">
        <v>5310</v>
      </c>
      <c r="L29" s="639"/>
    </row>
    <row r="30" spans="1:12" s="93" customFormat="1" ht="16.5" customHeight="1">
      <c r="B30" s="111" t="s">
        <v>5311</v>
      </c>
      <c r="C30" s="488" t="s">
        <v>5312</v>
      </c>
      <c r="D30" s="639"/>
      <c r="F30" s="111" t="s">
        <v>5313</v>
      </c>
      <c r="G30" s="488" t="s">
        <v>5314</v>
      </c>
      <c r="H30" s="639"/>
      <c r="J30" s="151" t="s">
        <v>5315</v>
      </c>
      <c r="K30" s="489" t="s">
        <v>5316</v>
      </c>
      <c r="L30" s="640"/>
    </row>
    <row r="31" spans="1:12" s="93" customFormat="1" ht="16.5" customHeight="1">
      <c r="B31" s="151" t="s">
        <v>5317</v>
      </c>
      <c r="C31" s="489" t="s">
        <v>5318</v>
      </c>
      <c r="D31" s="640"/>
      <c r="F31" s="151" t="s">
        <v>5319</v>
      </c>
      <c r="G31" s="489" t="s">
        <v>5320</v>
      </c>
      <c r="H31" s="640"/>
    </row>
    <row r="32" spans="1:12" s="93" customFormat="1" ht="16.5" customHeight="1"/>
    <row r="33" spans="2:12" s="93" customFormat="1" ht="16.5" customHeight="1"/>
    <row r="34" spans="2:12" s="93" customFormat="1" ht="16.5" customHeight="1">
      <c r="B34" s="95" t="s">
        <v>5321</v>
      </c>
      <c r="C34" s="504" t="s">
        <v>5255</v>
      </c>
      <c r="D34" s="505"/>
      <c r="F34" s="95" t="s">
        <v>1371</v>
      </c>
      <c r="G34" s="504" t="s">
        <v>5255</v>
      </c>
      <c r="H34" s="505"/>
      <c r="J34" s="95" t="s">
        <v>5322</v>
      </c>
      <c r="K34" s="504" t="s">
        <v>5255</v>
      </c>
      <c r="L34" s="505"/>
    </row>
    <row r="35" spans="2:12" s="93" customFormat="1" ht="16.5" customHeight="1">
      <c r="B35" s="111" t="s">
        <v>5323</v>
      </c>
      <c r="C35" s="488" t="s">
        <v>5324</v>
      </c>
      <c r="D35" s="639"/>
      <c r="F35" s="111" t="s">
        <v>4002</v>
      </c>
      <c r="G35" s="488" t="s">
        <v>5325</v>
      </c>
      <c r="H35" s="639"/>
      <c r="J35" s="111" t="s">
        <v>5326</v>
      </c>
      <c r="K35" s="488" t="s">
        <v>5327</v>
      </c>
      <c r="L35" s="639"/>
    </row>
    <row r="36" spans="2:12" s="93" customFormat="1" ht="16.5" customHeight="1">
      <c r="B36" s="151" t="s">
        <v>5328</v>
      </c>
      <c r="C36" s="489" t="s">
        <v>5329</v>
      </c>
      <c r="D36" s="640"/>
      <c r="F36" s="111" t="s">
        <v>5330</v>
      </c>
      <c r="G36" s="488" t="s">
        <v>5331</v>
      </c>
      <c r="H36" s="639"/>
      <c r="J36" s="111" t="s">
        <v>5332</v>
      </c>
      <c r="K36" s="488" t="s">
        <v>5333</v>
      </c>
      <c r="L36" s="639"/>
    </row>
    <row r="37" spans="2:12" s="93" customFormat="1" ht="16.5" customHeight="1">
      <c r="F37" s="111" t="s">
        <v>5334</v>
      </c>
      <c r="G37" s="488" t="s">
        <v>5335</v>
      </c>
      <c r="H37" s="639"/>
      <c r="J37" s="151" t="s">
        <v>5336</v>
      </c>
      <c r="K37" s="489" t="s">
        <v>5337</v>
      </c>
      <c r="L37" s="640"/>
    </row>
    <row r="38" spans="2:12" s="93" customFormat="1" ht="16.5" customHeight="1">
      <c r="F38" s="111" t="s">
        <v>5338</v>
      </c>
      <c r="G38" s="488" t="s">
        <v>5339</v>
      </c>
      <c r="H38" s="639"/>
    </row>
    <row r="39" spans="2:12" s="93" customFormat="1" ht="16.5" customHeight="1">
      <c r="F39" s="151" t="s">
        <v>1455</v>
      </c>
      <c r="G39" s="489" t="s">
        <v>5340</v>
      </c>
      <c r="H39" s="640"/>
    </row>
    <row r="40" spans="2:12" s="93" customFormat="1" ht="16.5" customHeight="1"/>
    <row r="41" spans="2:12" s="93" customFormat="1" ht="16.5" customHeight="1">
      <c r="B41" s="95" t="s">
        <v>5341</v>
      </c>
      <c r="C41" s="568" t="s">
        <v>5255</v>
      </c>
      <c r="D41" s="481"/>
    </row>
    <row r="42" spans="2:12" s="93" customFormat="1" ht="16.5" customHeight="1">
      <c r="B42" s="111" t="s">
        <v>5342</v>
      </c>
      <c r="C42" s="528" t="s">
        <v>5343</v>
      </c>
      <c r="D42" s="529"/>
    </row>
    <row r="43" spans="2:12" s="93" customFormat="1" ht="16.5" customHeight="1">
      <c r="B43" s="111" t="s">
        <v>5344</v>
      </c>
      <c r="C43" s="528" t="s">
        <v>5345</v>
      </c>
      <c r="D43" s="529"/>
    </row>
    <row r="44" spans="2:12" s="93" customFormat="1" ht="16.5" customHeight="1">
      <c r="B44" s="111" t="s">
        <v>5346</v>
      </c>
      <c r="C44" s="528" t="s">
        <v>5347</v>
      </c>
      <c r="D44" s="529"/>
    </row>
    <row r="45" spans="2:12" s="93" customFormat="1" ht="16.5" customHeight="1">
      <c r="B45" s="111" t="s">
        <v>5348</v>
      </c>
      <c r="C45" s="528" t="s">
        <v>5349</v>
      </c>
      <c r="D45" s="529"/>
    </row>
    <row r="46" spans="2:12" s="93" customFormat="1" ht="16.5" customHeight="1">
      <c r="B46" s="111" t="s">
        <v>5350</v>
      </c>
      <c r="C46" s="528" t="s">
        <v>5351</v>
      </c>
      <c r="D46" s="529"/>
    </row>
    <row r="47" spans="2:12" s="93" customFormat="1" ht="16.5" customHeight="1">
      <c r="B47" s="111" t="s">
        <v>5352</v>
      </c>
      <c r="C47" s="528" t="s">
        <v>5353</v>
      </c>
      <c r="D47" s="529"/>
    </row>
    <row r="48" spans="2:12" s="93" customFormat="1" ht="16.5" customHeight="1">
      <c r="B48" s="111" t="s">
        <v>5354</v>
      </c>
      <c r="C48" s="528" t="s">
        <v>5355</v>
      </c>
      <c r="D48" s="529"/>
    </row>
    <row r="49" spans="2:5" s="93" customFormat="1" ht="16.5" customHeight="1">
      <c r="B49" s="111" t="s">
        <v>5356</v>
      </c>
      <c r="C49" s="528" t="s">
        <v>5357</v>
      </c>
      <c r="D49" s="529"/>
    </row>
    <row r="50" spans="2:5" s="93" customFormat="1" ht="16.5" customHeight="1">
      <c r="B50" s="151" t="s">
        <v>5358</v>
      </c>
      <c r="C50" s="532" t="s">
        <v>5359</v>
      </c>
      <c r="D50" s="533"/>
    </row>
    <row r="51" spans="2:5" s="93" customFormat="1" ht="16.5" customHeight="1">
      <c r="B51" s="94"/>
    </row>
    <row r="52" spans="2:5" s="93" customFormat="1" ht="16.5" customHeight="1"/>
    <row r="53" spans="2:5" s="93" customFormat="1" ht="16.5" customHeight="1">
      <c r="B53" s="93" t="s">
        <v>5360</v>
      </c>
    </row>
    <row r="54" spans="2:5" s="93" customFormat="1" ht="16.5" customHeight="1"/>
    <row r="55" spans="2:5" s="93" customFormat="1" ht="16.5" customHeight="1">
      <c r="B55" s="95" t="s">
        <v>5361</v>
      </c>
      <c r="C55" s="96" t="s">
        <v>5362</v>
      </c>
      <c r="D55" s="97" t="s">
        <v>5363</v>
      </c>
    </row>
    <row r="56" spans="2:5" s="93" customFormat="1" ht="16.5" customHeight="1">
      <c r="B56" s="111" t="s">
        <v>5364</v>
      </c>
      <c r="C56" s="152">
        <v>1E+18</v>
      </c>
      <c r="D56" s="112" t="s">
        <v>5365</v>
      </c>
      <c r="E56" s="153"/>
    </row>
    <row r="57" spans="2:5" s="93" customFormat="1" ht="16.5" customHeight="1">
      <c r="B57" s="111" t="s">
        <v>5366</v>
      </c>
      <c r="C57" s="152">
        <v>1000000000000000</v>
      </c>
      <c r="D57" s="112" t="s">
        <v>5367</v>
      </c>
    </row>
    <row r="58" spans="2:5" s="93" customFormat="1" ht="16.5" customHeight="1">
      <c r="B58" s="111" t="s">
        <v>5368</v>
      </c>
      <c r="C58" s="152">
        <v>1000000000000</v>
      </c>
      <c r="D58" s="112" t="s">
        <v>5310</v>
      </c>
    </row>
    <row r="59" spans="2:5" s="93" customFormat="1" ht="16.5" customHeight="1">
      <c r="B59" s="111" t="s">
        <v>5369</v>
      </c>
      <c r="C59" s="152">
        <v>1000000000</v>
      </c>
      <c r="D59" s="112" t="s">
        <v>5370</v>
      </c>
    </row>
    <row r="60" spans="2:5" s="93" customFormat="1" ht="16.5" customHeight="1">
      <c r="B60" s="111" t="s">
        <v>5371</v>
      </c>
      <c r="C60" s="152">
        <v>1000000</v>
      </c>
      <c r="D60" s="112" t="s">
        <v>5372</v>
      </c>
    </row>
    <row r="61" spans="2:5" s="93" customFormat="1" ht="16.5" customHeight="1">
      <c r="B61" s="111" t="s">
        <v>5373</v>
      </c>
      <c r="C61" s="152">
        <v>1000</v>
      </c>
      <c r="D61" s="112" t="s">
        <v>5374</v>
      </c>
    </row>
    <row r="62" spans="2:5" s="93" customFormat="1" ht="16.5" customHeight="1">
      <c r="B62" s="111" t="s">
        <v>5375</v>
      </c>
      <c r="C62" s="152">
        <v>100</v>
      </c>
      <c r="D62" s="112" t="s">
        <v>5376</v>
      </c>
    </row>
    <row r="63" spans="2:5" s="93" customFormat="1" ht="16.5" customHeight="1">
      <c r="B63" s="111" t="s">
        <v>5377</v>
      </c>
      <c r="C63" s="152">
        <v>10</v>
      </c>
      <c r="D63" s="112" t="s">
        <v>5345</v>
      </c>
    </row>
    <row r="64" spans="2:5" s="93" customFormat="1" ht="16.5" customHeight="1">
      <c r="B64" s="111" t="s">
        <v>5378</v>
      </c>
      <c r="C64" s="152">
        <v>0.1</v>
      </c>
      <c r="D64" s="112" t="s">
        <v>5379</v>
      </c>
    </row>
    <row r="65" spans="2:7" s="93" customFormat="1" ht="16.5" customHeight="1">
      <c r="B65" s="111" t="s">
        <v>5380</v>
      </c>
      <c r="C65" s="152">
        <v>0.01</v>
      </c>
      <c r="D65" s="112" t="s">
        <v>5347</v>
      </c>
    </row>
    <row r="66" spans="2:7" s="93" customFormat="1" ht="16.5" customHeight="1">
      <c r="B66" s="111" t="s">
        <v>5381</v>
      </c>
      <c r="C66" s="152">
        <v>1E-3</v>
      </c>
      <c r="D66" s="112" t="s">
        <v>5261</v>
      </c>
    </row>
    <row r="67" spans="2:7" s="93" customFormat="1" ht="16.5" customHeight="1">
      <c r="B67" s="111" t="s">
        <v>5382</v>
      </c>
      <c r="C67" s="152">
        <v>9.9999999999999995E-7</v>
      </c>
      <c r="D67" s="112" t="s">
        <v>5277</v>
      </c>
    </row>
    <row r="68" spans="2:7" s="93" customFormat="1" ht="16.5" customHeight="1">
      <c r="B68" s="111" t="s">
        <v>5383</v>
      </c>
      <c r="C68" s="152">
        <v>1.0000000000000001E-9</v>
      </c>
      <c r="D68" s="112" t="s">
        <v>5384</v>
      </c>
    </row>
    <row r="69" spans="2:7" s="93" customFormat="1" ht="16.5" customHeight="1">
      <c r="B69" s="111" t="s">
        <v>5385</v>
      </c>
      <c r="C69" s="152">
        <v>2.2250738585072999E-12</v>
      </c>
      <c r="D69" s="112" t="s">
        <v>5386</v>
      </c>
    </row>
    <row r="70" spans="2:7" s="93" customFormat="1" ht="16.5" customHeight="1">
      <c r="B70" s="111" t="s">
        <v>5387</v>
      </c>
      <c r="C70" s="152">
        <v>2.2250738585072998E-15</v>
      </c>
      <c r="D70" s="112" t="s">
        <v>5388</v>
      </c>
    </row>
    <row r="71" spans="2:7" s="93" customFormat="1" ht="16.5" customHeight="1">
      <c r="B71" s="151" t="s">
        <v>5389</v>
      </c>
      <c r="C71" s="154">
        <v>2.2250738585073001E-18</v>
      </c>
      <c r="D71" s="150" t="s">
        <v>5390</v>
      </c>
    </row>
    <row r="72" spans="2:7" s="93" customFormat="1" ht="16.5" customHeight="1"/>
    <row r="73" spans="2:7" s="93" customFormat="1" ht="16.5" customHeight="1"/>
    <row r="74" spans="2:7" s="93" customFormat="1" ht="16.5" customHeight="1">
      <c r="B74" s="94" t="s">
        <v>1431</v>
      </c>
      <c r="C74" s="104" t="s">
        <v>1238</v>
      </c>
      <c r="G74" s="94" t="s">
        <v>4885</v>
      </c>
    </row>
    <row r="75" spans="2:7" s="93" customFormat="1" ht="16.5" customHeight="1">
      <c r="B75" s="93">
        <f>CONVERT(1,"lbm","kg")</f>
        <v>0.45359237000000002</v>
      </c>
      <c r="C75" s="108" t="s">
        <v>5391</v>
      </c>
      <c r="G75" s="93" t="s">
        <v>5392</v>
      </c>
    </row>
    <row r="76" spans="2:7" s="93" customFormat="1" ht="16.5" customHeight="1">
      <c r="B76" s="93">
        <f>CONVERT(68,"F","C")</f>
        <v>20</v>
      </c>
      <c r="C76" s="108" t="s">
        <v>5393</v>
      </c>
      <c r="G76" s="93" t="s">
        <v>5394</v>
      </c>
    </row>
    <row r="77" spans="2:7" s="93" customFormat="1" ht="16.5" customHeight="1">
      <c r="B77" s="93" t="e">
        <f>CONVERT(2.5,"ft","sec")</f>
        <v>#N/A</v>
      </c>
      <c r="C77" s="108" t="s">
        <v>5395</v>
      </c>
      <c r="G77" s="93" t="s">
        <v>5396</v>
      </c>
    </row>
    <row r="78" spans="2:7" s="93" customFormat="1" ht="16.5" customHeight="1">
      <c r="B78" s="93">
        <f>CONVERT(CONVERT(100,"ft","m"),"ft","m")</f>
        <v>9.2903040000000008</v>
      </c>
      <c r="C78" s="108" t="s">
        <v>5397</v>
      </c>
      <c r="G78" s="93" t="s">
        <v>5398</v>
      </c>
    </row>
    <row r="79" spans="2:7" s="93" customFormat="1" ht="16.5" customHeight="1"/>
    <row r="80" spans="2:7" s="93" customFormat="1" ht="16.5" customHeight="1"/>
    <row r="81" s="93" customFormat="1" ht="16.5" customHeight="1"/>
  </sheetData>
  <mergeCells count="77">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G24:H24"/>
    <mergeCell ref="K24:L24"/>
    <mergeCell ref="G25:H25"/>
    <mergeCell ref="K25:L25"/>
    <mergeCell ref="C34:D34"/>
    <mergeCell ref="G34:H34"/>
    <mergeCell ref="K34:L34"/>
    <mergeCell ref="K26:L26"/>
    <mergeCell ref="C28:D28"/>
    <mergeCell ref="G28:H28"/>
    <mergeCell ref="K28:L28"/>
    <mergeCell ref="C29:D29"/>
    <mergeCell ref="G29:H29"/>
    <mergeCell ref="K29:L29"/>
    <mergeCell ref="C30:D30"/>
    <mergeCell ref="G30:H30"/>
    <mergeCell ref="K30:L30"/>
    <mergeCell ref="C31:D31"/>
    <mergeCell ref="G31:H31"/>
    <mergeCell ref="C42:D42"/>
    <mergeCell ref="C35:D35"/>
    <mergeCell ref="G35:H35"/>
    <mergeCell ref="K35:L35"/>
    <mergeCell ref="C36:D36"/>
    <mergeCell ref="G36:H36"/>
    <mergeCell ref="K36:L36"/>
    <mergeCell ref="G37:H37"/>
    <mergeCell ref="K37:L37"/>
    <mergeCell ref="G38:H38"/>
    <mergeCell ref="G39:H39"/>
    <mergeCell ref="C41:D41"/>
    <mergeCell ref="C49:D49"/>
    <mergeCell ref="C50:D50"/>
    <mergeCell ref="C43:D43"/>
    <mergeCell ref="C44:D44"/>
    <mergeCell ref="C45:D45"/>
    <mergeCell ref="C46:D46"/>
    <mergeCell ref="C47:D47"/>
    <mergeCell ref="C48:D48"/>
  </mergeCells>
  <phoneticPr fontId="2" type="noConversion"/>
  <pageMargins left="0.75" right="0.75" top="1" bottom="1" header="0.5" footer="0.5"/>
  <headerFooter scaleWithDoc="0"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2"/>
  <dimension ref="A1:AV1034"/>
  <sheetViews>
    <sheetView topLeftCell="A493"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971</v>
      </c>
      <c r="B1" s="498"/>
      <c r="C1" s="499"/>
      <c r="D1" s="87"/>
      <c r="E1" s="500" t="str">
        <f>HYPERLINK("#目录!A471","跳转回到目录页")</f>
        <v>跳转回到目录页</v>
      </c>
      <c r="F1" s="501"/>
    </row>
    <row r="2" spans="1:48" s="88" customFormat="1" ht="26.25" customHeight="1">
      <c r="A2" s="502" t="s">
        <v>1216</v>
      </c>
      <c r="B2" s="502"/>
      <c r="C2" s="503" t="s">
        <v>669</v>
      </c>
      <c r="D2" s="503"/>
      <c r="E2" s="503"/>
      <c r="F2" s="503"/>
      <c r="G2" s="503"/>
      <c r="H2" s="503"/>
      <c r="I2" s="503"/>
      <c r="J2" s="503"/>
      <c r="K2" s="503"/>
      <c r="L2" s="503"/>
      <c r="M2" s="503"/>
    </row>
    <row r="3" spans="1:48" s="88" customFormat="1" ht="16.5" customHeight="1">
      <c r="A3" s="496" t="s">
        <v>1217</v>
      </c>
      <c r="B3" s="496"/>
      <c r="C3" s="493" t="s">
        <v>5399</v>
      </c>
      <c r="D3" s="493"/>
      <c r="E3" s="493"/>
      <c r="F3" s="493"/>
      <c r="G3" s="493"/>
      <c r="H3" s="493"/>
      <c r="I3" s="493"/>
      <c r="J3" s="493"/>
      <c r="K3" s="493"/>
      <c r="L3" s="493"/>
      <c r="M3" s="493"/>
    </row>
    <row r="4" spans="1:48" s="88" customFormat="1" ht="16.5" customHeight="1">
      <c r="A4" s="496" t="s">
        <v>5786</v>
      </c>
      <c r="B4" s="496"/>
      <c r="C4" s="497" t="s">
        <v>5400</v>
      </c>
      <c r="D4" s="497"/>
      <c r="E4" s="497"/>
      <c r="F4" s="497"/>
      <c r="G4" s="497"/>
      <c r="H4" s="497"/>
      <c r="I4" s="497"/>
      <c r="J4" s="497"/>
      <c r="K4" s="497"/>
      <c r="L4" s="497"/>
      <c r="M4" s="497"/>
    </row>
    <row r="5" spans="1:48" s="88" customFormat="1" ht="16.5" customHeight="1">
      <c r="A5" s="496" t="s">
        <v>1220</v>
      </c>
      <c r="B5" s="496"/>
      <c r="C5" s="493" t="s">
        <v>5401</v>
      </c>
      <c r="D5" s="493"/>
      <c r="E5" s="493"/>
      <c r="F5" s="493"/>
      <c r="G5" s="493"/>
      <c r="H5" s="493"/>
      <c r="I5" s="493"/>
      <c r="J5" s="493"/>
      <c r="K5" s="493"/>
      <c r="L5" s="493"/>
      <c r="M5" s="493"/>
    </row>
    <row r="6" spans="1:48" s="88" customFormat="1" ht="16.5" customHeight="1">
      <c r="A6" s="496" t="s">
        <v>5785</v>
      </c>
      <c r="B6" s="496"/>
      <c r="C6" s="493" t="s">
        <v>5402</v>
      </c>
      <c r="D6" s="493"/>
      <c r="E6" s="493"/>
      <c r="F6" s="493"/>
      <c r="G6" s="493"/>
      <c r="H6" s="493"/>
      <c r="I6" s="493"/>
      <c r="J6" s="493"/>
      <c r="K6" s="493"/>
      <c r="L6" s="493"/>
      <c r="M6" s="493"/>
    </row>
    <row r="7" spans="1:48" s="88" customFormat="1" ht="16.5" customHeight="1">
      <c r="A7" s="89" t="s">
        <v>1223</v>
      </c>
      <c r="B7" s="92" t="s">
        <v>3299</v>
      </c>
      <c r="C7" s="493" t="s">
        <v>5403</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24.75" customHeight="1">
      <c r="A11" s="89" t="s">
        <v>1229</v>
      </c>
      <c r="B11" s="673" t="s">
        <v>5404</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c r="B13" s="149" t="s">
        <v>5405</v>
      </c>
    </row>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E16" s="10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E17" s="104" t="s">
        <v>1238</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t="s">
        <v>3630</v>
      </c>
      <c r="D18" s="93" t="b">
        <f>ISBLANK(C18)</f>
        <v>1</v>
      </c>
      <c r="E18" s="108" t="s">
        <v>5406</v>
      </c>
      <c r="H18" s="93" t="b">
        <v>1</v>
      </c>
      <c r="I18" s="93" t="b">
        <v>0</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47" t="s">
        <v>5407</v>
      </c>
      <c r="C19" s="93" t="str">
        <f>""</f>
        <v/>
      </c>
      <c r="D19" s="93" t="b">
        <f t="shared" ref="D19:D34" si="0">ISBLANK(C19)</f>
        <v>0</v>
      </c>
      <c r="H19" s="94" t="s">
        <v>5408</v>
      </c>
      <c r="I19" s="94" t="s">
        <v>5409</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t="s">
        <v>5410</v>
      </c>
      <c r="C20" s="93" t="s">
        <v>5411</v>
      </c>
      <c r="D20" s="93" t="b">
        <f t="shared" si="0"/>
        <v>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3" t="s">
        <v>3088</v>
      </c>
      <c r="C21" s="93" t="s">
        <v>1904</v>
      </c>
      <c r="D21" s="93" t="b">
        <f t="shared" si="0"/>
        <v>0</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t="s">
        <v>1371</v>
      </c>
      <c r="C22" s="148">
        <v>40834</v>
      </c>
      <c r="D22" s="93" t="b">
        <f t="shared" si="0"/>
        <v>0</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6" t="s">
        <v>5412</v>
      </c>
      <c r="C23" s="93" t="e">
        <f>1/0</f>
        <v>#DIV/0!</v>
      </c>
      <c r="D23" s="93" t="b">
        <f t="shared" si="0"/>
        <v>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3" t="s">
        <v>3632</v>
      </c>
      <c r="C24" s="93" t="e">
        <v>#VALUE!</v>
      </c>
      <c r="D24" s="93" t="b">
        <f t="shared" si="0"/>
        <v>0</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3" t="s">
        <v>3632</v>
      </c>
      <c r="C25" s="93" t="e">
        <v>#N/A</v>
      </c>
      <c r="D25" s="93" t="b">
        <f t="shared" si="0"/>
        <v>0</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93" t="s">
        <v>3632</v>
      </c>
      <c r="C26" s="93" t="e">
        <v>#REF!</v>
      </c>
      <c r="D26" s="93" t="b">
        <f t="shared" si="0"/>
        <v>0</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3" t="s">
        <v>3632</v>
      </c>
      <c r="C27" s="93" t="e">
        <v>#DIV/0!</v>
      </c>
      <c r="D27" s="93" t="b">
        <f t="shared" si="0"/>
        <v>0</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3" t="s">
        <v>3632</v>
      </c>
      <c r="C28" s="93" t="e">
        <v>#NUM!</v>
      </c>
      <c r="D28" s="93" t="b">
        <f t="shared" si="0"/>
        <v>0</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93" t="s">
        <v>3632</v>
      </c>
      <c r="C29" s="93" t="e">
        <v>#NAME?</v>
      </c>
      <c r="D29" s="93" t="b">
        <f t="shared" si="0"/>
        <v>0</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93" t="s">
        <v>3632</v>
      </c>
      <c r="C30" s="93" t="e">
        <v>#NULL!</v>
      </c>
      <c r="D30" s="93" t="b">
        <f t="shared" si="0"/>
        <v>0</v>
      </c>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93" t="s">
        <v>2087</v>
      </c>
      <c r="C31" s="93">
        <v>6</v>
      </c>
      <c r="D31" s="93" t="b">
        <f t="shared" si="0"/>
        <v>0</v>
      </c>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93" t="s">
        <v>2087</v>
      </c>
      <c r="C32" s="93">
        <v>7</v>
      </c>
      <c r="D32" s="93" t="b">
        <f t="shared" si="0"/>
        <v>0</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B33" s="93" t="s">
        <v>3628</v>
      </c>
      <c r="C33" s="94" t="b">
        <v>1</v>
      </c>
      <c r="D33" s="93" t="b">
        <f t="shared" si="0"/>
        <v>0</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93" t="s">
        <v>3628</v>
      </c>
      <c r="C34" s="94" t="b">
        <v>0</v>
      </c>
      <c r="D34" s="93" t="b">
        <f t="shared" si="0"/>
        <v>0</v>
      </c>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974</v>
      </c>
      <c r="B100" s="498"/>
      <c r="C100" s="499"/>
      <c r="D100" s="87"/>
      <c r="E100" s="500" t="str">
        <f>HYPERLINK("#目录!A472","跳转回到目录页")</f>
        <v>跳转回到目录页</v>
      </c>
      <c r="F100" s="501"/>
    </row>
    <row r="101" spans="1:13" s="88" customFormat="1" ht="26.25" customHeight="1">
      <c r="A101" s="502" t="s">
        <v>1216</v>
      </c>
      <c r="B101" s="502"/>
      <c r="C101" s="503" t="s">
        <v>670</v>
      </c>
      <c r="D101" s="503"/>
      <c r="E101" s="503"/>
      <c r="F101" s="503"/>
      <c r="G101" s="503"/>
      <c r="H101" s="503"/>
      <c r="I101" s="503"/>
      <c r="J101" s="503"/>
      <c r="K101" s="503"/>
      <c r="L101" s="503"/>
      <c r="M101" s="503"/>
    </row>
    <row r="102" spans="1:13" s="88" customFormat="1" ht="16.5" customHeight="1">
      <c r="A102" s="496" t="s">
        <v>1217</v>
      </c>
      <c r="B102" s="496"/>
      <c r="C102" s="493" t="s">
        <v>5413</v>
      </c>
      <c r="D102" s="493"/>
      <c r="E102" s="493"/>
      <c r="F102" s="493"/>
      <c r="G102" s="493"/>
      <c r="H102" s="493"/>
      <c r="I102" s="493"/>
      <c r="J102" s="493"/>
      <c r="K102" s="493"/>
      <c r="L102" s="493"/>
      <c r="M102" s="493"/>
    </row>
    <row r="103" spans="1:13" s="88" customFormat="1" ht="16.5" customHeight="1">
      <c r="A103" s="496" t="s">
        <v>5786</v>
      </c>
      <c r="B103" s="496"/>
      <c r="C103" s="497" t="s">
        <v>670</v>
      </c>
      <c r="D103" s="497"/>
      <c r="E103" s="497"/>
      <c r="F103" s="497"/>
      <c r="G103" s="497"/>
      <c r="H103" s="497"/>
      <c r="I103" s="497"/>
      <c r="J103" s="497"/>
      <c r="K103" s="497"/>
      <c r="L103" s="497"/>
      <c r="M103" s="497"/>
    </row>
    <row r="104" spans="1:13" s="88" customFormat="1" ht="16.5" customHeight="1">
      <c r="A104" s="496" t="s">
        <v>1220</v>
      </c>
      <c r="B104" s="496"/>
      <c r="C104" s="493" t="s">
        <v>5414</v>
      </c>
      <c r="D104" s="493"/>
      <c r="E104" s="493"/>
      <c r="F104" s="493"/>
      <c r="G104" s="493"/>
      <c r="H104" s="493"/>
      <c r="I104" s="493"/>
      <c r="J104" s="493"/>
      <c r="K104" s="493"/>
      <c r="L104" s="493"/>
      <c r="M104" s="493"/>
    </row>
    <row r="105" spans="1:13" s="88" customFormat="1" ht="16.5" customHeight="1">
      <c r="A105" s="496" t="s">
        <v>5785</v>
      </c>
      <c r="B105" s="496"/>
      <c r="C105" s="493" t="s">
        <v>5415</v>
      </c>
      <c r="D105" s="493"/>
      <c r="E105" s="493"/>
      <c r="F105" s="493"/>
      <c r="G105" s="493"/>
      <c r="H105" s="493"/>
      <c r="I105" s="493"/>
      <c r="J105" s="493"/>
      <c r="K105" s="493"/>
      <c r="L105" s="493"/>
      <c r="M105" s="493"/>
    </row>
    <row r="106" spans="1:13" s="88" customFormat="1" ht="16.5" customHeight="1">
      <c r="A106" s="89" t="s">
        <v>1223</v>
      </c>
      <c r="B106" s="92" t="s">
        <v>3299</v>
      </c>
      <c r="C106" s="493" t="s">
        <v>5403</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24.75" customHeight="1">
      <c r="A110" s="89" t="s">
        <v>1229</v>
      </c>
      <c r="B110" s="673" t="s">
        <v>5404</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10" s="93" customFormat="1" ht="16.5" customHeight="1">
      <c r="A113" s="94" t="s">
        <v>1232</v>
      </c>
      <c r="B113" s="93" t="s">
        <v>1773</v>
      </c>
    </row>
    <row r="114" spans="1:10" ht="16.5" customHeight="1">
      <c r="A114" s="93"/>
      <c r="B114" s="93"/>
      <c r="C114" s="93"/>
      <c r="D114" s="93"/>
      <c r="E114" s="93"/>
      <c r="F114" s="93"/>
      <c r="G114" s="93"/>
      <c r="H114" s="93"/>
      <c r="I114" s="93"/>
      <c r="J114" s="93"/>
    </row>
    <row r="115" spans="1:10" ht="16.5" customHeight="1">
      <c r="A115" s="93"/>
      <c r="B115" s="93"/>
      <c r="C115" s="93"/>
      <c r="D115" s="93"/>
      <c r="E115" s="93"/>
      <c r="F115" s="93"/>
      <c r="G115" s="93"/>
      <c r="H115" s="93"/>
      <c r="I115" s="93"/>
      <c r="J115" s="93"/>
    </row>
    <row r="116" spans="1:10" ht="16.5" customHeight="1">
      <c r="A116" s="93"/>
      <c r="B116" s="93"/>
      <c r="C116" s="93"/>
      <c r="D116" s="93"/>
      <c r="E116" s="104" t="s">
        <v>1238</v>
      </c>
      <c r="F116" s="93"/>
      <c r="G116" s="93"/>
      <c r="H116" s="93"/>
      <c r="I116" s="93"/>
      <c r="J116" s="93"/>
    </row>
    <row r="117" spans="1:10" ht="16.5" customHeight="1">
      <c r="A117" s="93"/>
      <c r="B117" s="93" t="s">
        <v>3630</v>
      </c>
      <c r="C117" s="93"/>
      <c r="D117" s="93" t="b">
        <f>ISERROR(C117)</f>
        <v>0</v>
      </c>
      <c r="E117" s="108" t="s">
        <v>5416</v>
      </c>
      <c r="F117" s="93"/>
      <c r="G117" s="93"/>
      <c r="H117" s="93" t="b">
        <v>1</v>
      </c>
      <c r="I117" s="93" t="b">
        <v>0</v>
      </c>
      <c r="J117" s="93"/>
    </row>
    <row r="118" spans="1:10" ht="16.5" customHeight="1">
      <c r="A118" s="93"/>
      <c r="B118" s="147" t="s">
        <v>5407</v>
      </c>
      <c r="C118" s="93" t="str">
        <f>""</f>
        <v/>
      </c>
      <c r="D118" s="93" t="b">
        <f t="shared" ref="D118:D133" si="1">ISERROR(C118)</f>
        <v>0</v>
      </c>
      <c r="E118" s="93"/>
      <c r="F118" s="93"/>
      <c r="G118" s="93"/>
      <c r="H118" s="94" t="s">
        <v>5408</v>
      </c>
      <c r="I118" s="94" t="s">
        <v>5409</v>
      </c>
      <c r="J118" s="93"/>
    </row>
    <row r="119" spans="1:10" ht="16.5" customHeight="1">
      <c r="A119" s="93"/>
      <c r="B119" s="93" t="s">
        <v>5410</v>
      </c>
      <c r="C119" s="93" t="s">
        <v>5411</v>
      </c>
      <c r="D119" s="93" t="b">
        <f t="shared" si="1"/>
        <v>0</v>
      </c>
      <c r="E119" s="93"/>
      <c r="F119" s="93"/>
      <c r="G119" s="93"/>
      <c r="H119" s="93"/>
      <c r="I119" s="93"/>
      <c r="J119" s="93"/>
    </row>
    <row r="120" spans="1:10" ht="16.5" customHeight="1">
      <c r="A120" s="93"/>
      <c r="B120" s="93" t="s">
        <v>3088</v>
      </c>
      <c r="C120" s="93" t="s">
        <v>1904</v>
      </c>
      <c r="D120" s="93" t="b">
        <f t="shared" si="1"/>
        <v>0</v>
      </c>
      <c r="E120" s="93"/>
      <c r="F120" s="93"/>
      <c r="G120" s="93"/>
      <c r="H120" s="93"/>
      <c r="I120" s="93"/>
      <c r="J120" s="93"/>
    </row>
    <row r="121" spans="1:10" ht="16.5" customHeight="1">
      <c r="A121" s="93"/>
      <c r="B121" s="93" t="s">
        <v>1371</v>
      </c>
      <c r="C121" s="148">
        <v>40834</v>
      </c>
      <c r="D121" s="93" t="b">
        <f t="shared" si="1"/>
        <v>0</v>
      </c>
      <c r="E121" s="93"/>
      <c r="F121" s="93"/>
      <c r="G121" s="93"/>
      <c r="H121" s="93"/>
      <c r="I121" s="93"/>
      <c r="J121" s="93"/>
    </row>
    <row r="122" spans="1:10" ht="16.5" customHeight="1">
      <c r="A122" s="93"/>
      <c r="B122" s="116" t="s">
        <v>5412</v>
      </c>
      <c r="C122" s="93" t="e">
        <f>1/0</f>
        <v>#DIV/0!</v>
      </c>
      <c r="D122" s="93" t="b">
        <f t="shared" si="1"/>
        <v>1</v>
      </c>
      <c r="E122" s="93"/>
      <c r="F122" s="93"/>
      <c r="G122" s="93"/>
      <c r="H122" s="93"/>
      <c r="I122" s="93"/>
      <c r="J122" s="93"/>
    </row>
    <row r="123" spans="1:10" ht="16.5" customHeight="1">
      <c r="A123" s="93"/>
      <c r="B123" s="93" t="s">
        <v>3632</v>
      </c>
      <c r="C123" s="93" t="e">
        <v>#VALUE!</v>
      </c>
      <c r="D123" s="93" t="b">
        <f t="shared" si="1"/>
        <v>1</v>
      </c>
      <c r="E123" s="93"/>
      <c r="F123" s="93"/>
      <c r="G123" s="93"/>
      <c r="H123" s="93"/>
      <c r="I123" s="93"/>
      <c r="J123" s="93"/>
    </row>
    <row r="124" spans="1:10" ht="16.5" customHeight="1">
      <c r="A124" s="93"/>
      <c r="B124" s="93" t="s">
        <v>3632</v>
      </c>
      <c r="C124" s="93" t="e">
        <v>#N/A</v>
      </c>
      <c r="D124" s="93" t="b">
        <f t="shared" si="1"/>
        <v>1</v>
      </c>
      <c r="E124" s="93"/>
      <c r="F124" s="93"/>
      <c r="G124" s="93"/>
      <c r="H124" s="93"/>
      <c r="I124" s="93"/>
      <c r="J124" s="93"/>
    </row>
    <row r="125" spans="1:10" ht="16.5" customHeight="1">
      <c r="A125" s="93"/>
      <c r="B125" s="93" t="s">
        <v>3632</v>
      </c>
      <c r="C125" s="93" t="e">
        <v>#REF!</v>
      </c>
      <c r="D125" s="93" t="b">
        <f t="shared" si="1"/>
        <v>1</v>
      </c>
      <c r="E125" s="93"/>
      <c r="F125" s="93"/>
      <c r="G125" s="93"/>
      <c r="H125" s="93"/>
      <c r="I125" s="93"/>
      <c r="J125" s="93"/>
    </row>
    <row r="126" spans="1:10" ht="16.5" customHeight="1">
      <c r="A126" s="93"/>
      <c r="B126" s="93" t="s">
        <v>3632</v>
      </c>
      <c r="C126" s="93" t="e">
        <v>#DIV/0!</v>
      </c>
      <c r="D126" s="93" t="b">
        <f t="shared" si="1"/>
        <v>1</v>
      </c>
      <c r="E126" s="93"/>
      <c r="F126" s="93"/>
      <c r="G126" s="93"/>
      <c r="H126" s="93"/>
      <c r="I126" s="93"/>
      <c r="J126" s="93"/>
    </row>
    <row r="127" spans="1:10" ht="16.5" customHeight="1">
      <c r="A127" s="93"/>
      <c r="B127" s="93" t="s">
        <v>3632</v>
      </c>
      <c r="C127" s="93" t="e">
        <v>#NUM!</v>
      </c>
      <c r="D127" s="93" t="b">
        <f t="shared" si="1"/>
        <v>1</v>
      </c>
      <c r="E127" s="93"/>
      <c r="F127" s="93"/>
      <c r="G127" s="93"/>
      <c r="H127" s="93"/>
      <c r="I127" s="93"/>
      <c r="J127" s="93"/>
    </row>
    <row r="128" spans="1:10" ht="16.5" customHeight="1">
      <c r="A128" s="93"/>
      <c r="B128" s="93" t="s">
        <v>3632</v>
      </c>
      <c r="C128" s="93" t="e">
        <v>#NAME?</v>
      </c>
      <c r="D128" s="93" t="b">
        <f t="shared" si="1"/>
        <v>1</v>
      </c>
      <c r="E128" s="93"/>
      <c r="F128" s="93"/>
      <c r="G128" s="93"/>
      <c r="H128" s="93"/>
      <c r="I128" s="93"/>
      <c r="J128" s="93"/>
    </row>
    <row r="129" spans="1:10" ht="16.5" customHeight="1">
      <c r="A129" s="93"/>
      <c r="B129" s="93" t="s">
        <v>3632</v>
      </c>
      <c r="C129" s="93" t="e">
        <v>#NULL!</v>
      </c>
      <c r="D129" s="93" t="b">
        <f t="shared" si="1"/>
        <v>1</v>
      </c>
      <c r="E129" s="93"/>
      <c r="F129" s="93"/>
      <c r="G129" s="93"/>
      <c r="H129" s="93"/>
      <c r="I129" s="93"/>
      <c r="J129" s="93"/>
    </row>
    <row r="130" spans="1:10" ht="16.5" customHeight="1">
      <c r="A130" s="93"/>
      <c r="B130" s="93" t="s">
        <v>2087</v>
      </c>
      <c r="C130" s="93">
        <v>6</v>
      </c>
      <c r="D130" s="93" t="b">
        <f t="shared" si="1"/>
        <v>0</v>
      </c>
      <c r="E130" s="93"/>
      <c r="F130" s="93"/>
      <c r="G130" s="93"/>
      <c r="H130" s="93"/>
      <c r="I130" s="93"/>
      <c r="J130" s="93"/>
    </row>
    <row r="131" spans="1:10" ht="16.5" customHeight="1">
      <c r="B131" s="93" t="s">
        <v>2087</v>
      </c>
      <c r="C131" s="93">
        <v>7</v>
      </c>
      <c r="D131" s="93" t="b">
        <f t="shared" si="1"/>
        <v>0</v>
      </c>
    </row>
    <row r="132" spans="1:10" ht="16.5" customHeight="1">
      <c r="B132" s="93" t="s">
        <v>3628</v>
      </c>
      <c r="C132" s="94" t="b">
        <v>1</v>
      </c>
      <c r="D132" s="93" t="b">
        <f t="shared" si="1"/>
        <v>0</v>
      </c>
    </row>
    <row r="133" spans="1:10" ht="16.5" customHeight="1">
      <c r="B133" s="93" t="s">
        <v>3628</v>
      </c>
      <c r="C133" s="94" t="b">
        <v>0</v>
      </c>
      <c r="D133" s="93" t="b">
        <f t="shared" si="1"/>
        <v>0</v>
      </c>
    </row>
    <row r="134" spans="1:10" ht="16.5" customHeight="1"/>
    <row r="135" spans="1:10" ht="16.5" customHeight="1"/>
    <row r="200" spans="1:13" s="88" customFormat="1" ht="26.25" customHeight="1">
      <c r="A200" s="498" t="s">
        <v>671</v>
      </c>
      <c r="B200" s="498"/>
      <c r="C200" s="499"/>
      <c r="D200" s="87"/>
      <c r="E200" s="500" t="str">
        <f>HYPERLINK("#目录!A473","跳转回到目录页")</f>
        <v>跳转回到目录页</v>
      </c>
      <c r="F200" s="501"/>
    </row>
    <row r="201" spans="1:13" s="88" customFormat="1" ht="26.25" customHeight="1">
      <c r="A201" s="502" t="s">
        <v>1216</v>
      </c>
      <c r="B201" s="502"/>
      <c r="C201" s="503" t="s">
        <v>672</v>
      </c>
      <c r="D201" s="503"/>
      <c r="E201" s="503"/>
      <c r="F201" s="503"/>
      <c r="G201" s="503"/>
      <c r="H201" s="503"/>
      <c r="I201" s="503"/>
      <c r="J201" s="503"/>
      <c r="K201" s="503"/>
      <c r="L201" s="503"/>
      <c r="M201" s="503"/>
    </row>
    <row r="202" spans="1:13" s="88" customFormat="1" ht="16.5" customHeight="1">
      <c r="A202" s="496" t="s">
        <v>1217</v>
      </c>
      <c r="B202" s="496"/>
      <c r="C202" s="493" t="s">
        <v>5417</v>
      </c>
      <c r="D202" s="493"/>
      <c r="E202" s="493"/>
      <c r="F202" s="493"/>
      <c r="G202" s="493"/>
      <c r="H202" s="493"/>
      <c r="I202" s="493"/>
      <c r="J202" s="493"/>
      <c r="K202" s="493"/>
      <c r="L202" s="493"/>
      <c r="M202" s="493"/>
    </row>
    <row r="203" spans="1:13" s="88" customFormat="1" ht="16.5" customHeight="1">
      <c r="A203" s="496" t="s">
        <v>5786</v>
      </c>
      <c r="B203" s="496"/>
      <c r="C203" s="497" t="s">
        <v>672</v>
      </c>
      <c r="D203" s="497"/>
      <c r="E203" s="497"/>
      <c r="F203" s="497"/>
      <c r="G203" s="497"/>
      <c r="H203" s="497"/>
      <c r="I203" s="497"/>
      <c r="J203" s="497"/>
      <c r="K203" s="497"/>
      <c r="L203" s="497"/>
      <c r="M203" s="497"/>
    </row>
    <row r="204" spans="1:13" s="88" customFormat="1" ht="16.5" customHeight="1">
      <c r="A204" s="496" t="s">
        <v>1220</v>
      </c>
      <c r="B204" s="496"/>
      <c r="C204" s="493" t="s">
        <v>5418</v>
      </c>
      <c r="D204" s="493"/>
      <c r="E204" s="493"/>
      <c r="F204" s="493"/>
      <c r="G204" s="493"/>
      <c r="H204" s="493"/>
      <c r="I204" s="493"/>
      <c r="J204" s="493"/>
      <c r="K204" s="493"/>
      <c r="L204" s="493"/>
      <c r="M204" s="493"/>
    </row>
    <row r="205" spans="1:13" s="88" customFormat="1" ht="16.5" customHeight="1">
      <c r="A205" s="496" t="s">
        <v>5785</v>
      </c>
      <c r="B205" s="496"/>
      <c r="C205" s="493" t="s">
        <v>5419</v>
      </c>
      <c r="D205" s="493"/>
      <c r="E205" s="493"/>
      <c r="F205" s="493"/>
      <c r="G205" s="493"/>
      <c r="H205" s="493"/>
      <c r="I205" s="493"/>
      <c r="J205" s="493"/>
      <c r="K205" s="493"/>
      <c r="L205" s="493"/>
      <c r="M205" s="493"/>
    </row>
    <row r="206" spans="1:13" s="88" customFormat="1" ht="16.5" customHeight="1">
      <c r="A206" s="89" t="s">
        <v>1223</v>
      </c>
      <c r="B206" s="92" t="s">
        <v>3299</v>
      </c>
      <c r="C206" s="493" t="s">
        <v>5403</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24.75" customHeight="1">
      <c r="A210" s="89" t="s">
        <v>1229</v>
      </c>
      <c r="B210" s="673" t="s">
        <v>5404</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row r="216" spans="1:13" ht="16.5" customHeight="1">
      <c r="B216" s="93"/>
      <c r="C216" s="93"/>
      <c r="D216" s="93"/>
      <c r="E216" s="104" t="s">
        <v>1238</v>
      </c>
      <c r="F216" s="93"/>
      <c r="G216" s="93"/>
      <c r="H216" s="93"/>
      <c r="I216" s="93"/>
    </row>
    <row r="217" spans="1:13" ht="16.5" customHeight="1">
      <c r="B217" s="93" t="s">
        <v>3630</v>
      </c>
      <c r="C217" s="93"/>
      <c r="D217" s="93" t="b">
        <f>ISERR(C217)</f>
        <v>0</v>
      </c>
      <c r="E217" s="108" t="s">
        <v>5420</v>
      </c>
      <c r="F217" s="93"/>
      <c r="G217" s="93"/>
      <c r="H217" s="93" t="b">
        <v>1</v>
      </c>
      <c r="I217" s="93" t="b">
        <v>0</v>
      </c>
    </row>
    <row r="218" spans="1:13" ht="16.5" customHeight="1">
      <c r="B218" s="147" t="s">
        <v>5407</v>
      </c>
      <c r="C218" s="93" t="str">
        <f>""</f>
        <v/>
      </c>
      <c r="D218" s="93" t="b">
        <f t="shared" ref="D218:D233" si="2">ISERR(C218)</f>
        <v>0</v>
      </c>
      <c r="E218" s="93"/>
      <c r="F218" s="93"/>
      <c r="G218" s="93"/>
      <c r="H218" s="94" t="s">
        <v>5408</v>
      </c>
      <c r="I218" s="94" t="s">
        <v>5409</v>
      </c>
    </row>
    <row r="219" spans="1:13" ht="16.5" customHeight="1">
      <c r="B219" s="93" t="s">
        <v>5410</v>
      </c>
      <c r="C219" s="93" t="s">
        <v>5411</v>
      </c>
      <c r="D219" s="93" t="b">
        <f t="shared" si="2"/>
        <v>0</v>
      </c>
      <c r="E219" s="93"/>
      <c r="F219" s="93"/>
      <c r="G219" s="93"/>
      <c r="H219" s="93"/>
      <c r="I219" s="93"/>
    </row>
    <row r="220" spans="1:13" ht="16.5" customHeight="1">
      <c r="B220" s="93" t="s">
        <v>3088</v>
      </c>
      <c r="C220" s="93" t="s">
        <v>1904</v>
      </c>
      <c r="D220" s="93" t="b">
        <f t="shared" si="2"/>
        <v>0</v>
      </c>
      <c r="E220" s="93"/>
      <c r="F220" s="93"/>
      <c r="G220" s="93"/>
      <c r="H220" s="93"/>
      <c r="I220" s="93"/>
    </row>
    <row r="221" spans="1:13" ht="16.5" customHeight="1">
      <c r="B221" s="93" t="s">
        <v>1371</v>
      </c>
      <c r="C221" s="148">
        <v>40834</v>
      </c>
      <c r="D221" s="93" t="b">
        <f t="shared" si="2"/>
        <v>0</v>
      </c>
      <c r="E221" s="93"/>
      <c r="F221" s="93"/>
      <c r="G221" s="93"/>
      <c r="H221" s="93"/>
      <c r="I221" s="93"/>
    </row>
    <row r="222" spans="1:13" ht="16.5" customHeight="1">
      <c r="B222" s="116" t="s">
        <v>5412</v>
      </c>
      <c r="C222" s="93" t="e">
        <f>1/0</f>
        <v>#DIV/0!</v>
      </c>
      <c r="D222" s="93" t="b">
        <f t="shared" si="2"/>
        <v>1</v>
      </c>
      <c r="E222" s="93"/>
      <c r="F222" s="93"/>
      <c r="G222" s="93"/>
      <c r="H222" s="93"/>
      <c r="I222" s="93"/>
    </row>
    <row r="223" spans="1:13" ht="16.5" customHeight="1">
      <c r="B223" s="93" t="s">
        <v>3632</v>
      </c>
      <c r="C223" s="93" t="e">
        <v>#VALUE!</v>
      </c>
      <c r="D223" s="93" t="b">
        <f t="shared" si="2"/>
        <v>1</v>
      </c>
      <c r="E223" s="93"/>
      <c r="F223" s="93"/>
      <c r="G223" s="93"/>
      <c r="H223" s="93"/>
      <c r="I223" s="93"/>
    </row>
    <row r="224" spans="1:13" ht="16.5" customHeight="1">
      <c r="B224" s="93" t="s">
        <v>3632</v>
      </c>
      <c r="C224" s="93" t="e">
        <v>#N/A</v>
      </c>
      <c r="D224" s="93" t="b">
        <f t="shared" si="2"/>
        <v>0</v>
      </c>
      <c r="E224" s="93"/>
      <c r="F224" s="93"/>
      <c r="G224" s="93"/>
      <c r="H224" s="93"/>
      <c r="I224" s="93"/>
    </row>
    <row r="225" spans="2:9" ht="16.5" customHeight="1">
      <c r="B225" s="93" t="s">
        <v>3632</v>
      </c>
      <c r="C225" s="93" t="e">
        <v>#REF!</v>
      </c>
      <c r="D225" s="93" t="b">
        <f t="shared" si="2"/>
        <v>1</v>
      </c>
      <c r="E225" s="93"/>
      <c r="F225" s="93"/>
      <c r="G225" s="93"/>
      <c r="H225" s="93"/>
      <c r="I225" s="93"/>
    </row>
    <row r="226" spans="2:9" ht="16.5" customHeight="1">
      <c r="B226" s="93" t="s">
        <v>3632</v>
      </c>
      <c r="C226" s="93" t="e">
        <v>#DIV/0!</v>
      </c>
      <c r="D226" s="93" t="b">
        <f t="shared" si="2"/>
        <v>1</v>
      </c>
      <c r="E226" s="93"/>
      <c r="F226" s="93"/>
      <c r="G226" s="93"/>
      <c r="H226" s="93"/>
      <c r="I226" s="93"/>
    </row>
    <row r="227" spans="2:9" ht="16.5" customHeight="1">
      <c r="B227" s="93" t="s">
        <v>3632</v>
      </c>
      <c r="C227" s="93" t="e">
        <v>#NUM!</v>
      </c>
      <c r="D227" s="93" t="b">
        <f t="shared" si="2"/>
        <v>1</v>
      </c>
      <c r="E227" s="93"/>
      <c r="F227" s="93"/>
      <c r="G227" s="93"/>
      <c r="H227" s="93"/>
      <c r="I227" s="93"/>
    </row>
    <row r="228" spans="2:9" ht="16.5" customHeight="1">
      <c r="B228" s="93" t="s">
        <v>3632</v>
      </c>
      <c r="C228" s="93" t="e">
        <v>#NAME?</v>
      </c>
      <c r="D228" s="93" t="b">
        <f t="shared" si="2"/>
        <v>1</v>
      </c>
      <c r="E228" s="93"/>
      <c r="F228" s="93"/>
      <c r="G228" s="93"/>
      <c r="H228" s="93"/>
      <c r="I228" s="93"/>
    </row>
    <row r="229" spans="2:9" ht="16.5" customHeight="1">
      <c r="B229" s="93" t="s">
        <v>3632</v>
      </c>
      <c r="C229" s="93" t="e">
        <v>#NULL!</v>
      </c>
      <c r="D229" s="93" t="b">
        <f t="shared" si="2"/>
        <v>1</v>
      </c>
      <c r="E229" s="93"/>
      <c r="F229" s="93"/>
      <c r="G229" s="93"/>
      <c r="H229" s="93"/>
      <c r="I229" s="93"/>
    </row>
    <row r="230" spans="2:9" ht="16.5" customHeight="1">
      <c r="B230" s="93" t="s">
        <v>2087</v>
      </c>
      <c r="C230" s="93">
        <v>6</v>
      </c>
      <c r="D230" s="93" t="b">
        <f t="shared" si="2"/>
        <v>0</v>
      </c>
    </row>
    <row r="231" spans="2:9" ht="16.5" customHeight="1">
      <c r="B231" s="93" t="s">
        <v>2087</v>
      </c>
      <c r="C231" s="93">
        <v>7</v>
      </c>
      <c r="D231" s="93" t="b">
        <f t="shared" si="2"/>
        <v>0</v>
      </c>
    </row>
    <row r="232" spans="2:9" ht="16.5" customHeight="1">
      <c r="B232" s="93" t="s">
        <v>3628</v>
      </c>
      <c r="C232" s="94" t="b">
        <v>1</v>
      </c>
      <c r="D232" s="93" t="b">
        <f t="shared" si="2"/>
        <v>0</v>
      </c>
    </row>
    <row r="233" spans="2:9" ht="16.5" customHeight="1">
      <c r="B233" s="93" t="s">
        <v>3628</v>
      </c>
      <c r="C233" s="94" t="b">
        <v>0</v>
      </c>
      <c r="D233" s="93" t="b">
        <f t="shared" si="2"/>
        <v>0</v>
      </c>
    </row>
    <row r="300" spans="1:13" s="88" customFormat="1" ht="26.25" customHeight="1">
      <c r="A300" s="498" t="s">
        <v>980</v>
      </c>
      <c r="B300" s="498"/>
      <c r="C300" s="499"/>
      <c r="D300" s="87"/>
      <c r="E300" s="500" t="str">
        <f>HYPERLINK("#目录!A474","跳转回到目录页")</f>
        <v>跳转回到目录页</v>
      </c>
      <c r="F300" s="501"/>
    </row>
    <row r="301" spans="1:13" s="88" customFormat="1" ht="26.25" customHeight="1">
      <c r="A301" s="502" t="s">
        <v>1216</v>
      </c>
      <c r="B301" s="502"/>
      <c r="C301" s="503" t="s">
        <v>673</v>
      </c>
      <c r="D301" s="503"/>
      <c r="E301" s="503"/>
      <c r="F301" s="503"/>
      <c r="G301" s="503"/>
      <c r="H301" s="503"/>
      <c r="I301" s="503"/>
      <c r="J301" s="503"/>
      <c r="K301" s="503"/>
      <c r="L301" s="503"/>
      <c r="M301" s="503"/>
    </row>
    <row r="302" spans="1:13" s="88" customFormat="1" ht="16.5" customHeight="1">
      <c r="A302" s="496" t="s">
        <v>1217</v>
      </c>
      <c r="B302" s="496"/>
      <c r="C302" s="493" t="s">
        <v>5421</v>
      </c>
      <c r="D302" s="493"/>
      <c r="E302" s="493"/>
      <c r="F302" s="493"/>
      <c r="G302" s="493"/>
      <c r="H302" s="493"/>
      <c r="I302" s="493"/>
      <c r="J302" s="493"/>
      <c r="K302" s="493"/>
      <c r="L302" s="493"/>
      <c r="M302" s="493"/>
    </row>
    <row r="303" spans="1:13" s="88" customFormat="1" ht="16.5" customHeight="1">
      <c r="A303" s="496" t="s">
        <v>5786</v>
      </c>
      <c r="B303" s="496"/>
      <c r="C303" s="497" t="s">
        <v>673</v>
      </c>
      <c r="D303" s="497"/>
      <c r="E303" s="497"/>
      <c r="F303" s="497"/>
      <c r="G303" s="497"/>
      <c r="H303" s="497"/>
      <c r="I303" s="497"/>
      <c r="J303" s="497"/>
      <c r="K303" s="497"/>
      <c r="L303" s="497"/>
      <c r="M303" s="497"/>
    </row>
    <row r="304" spans="1:13" s="88" customFormat="1" ht="16.5" customHeight="1">
      <c r="A304" s="496" t="s">
        <v>1220</v>
      </c>
      <c r="B304" s="496"/>
      <c r="C304" s="493" t="s">
        <v>5422</v>
      </c>
      <c r="D304" s="493"/>
      <c r="E304" s="493"/>
      <c r="F304" s="493"/>
      <c r="G304" s="493"/>
      <c r="H304" s="493"/>
      <c r="I304" s="493"/>
      <c r="J304" s="493"/>
      <c r="K304" s="493"/>
      <c r="L304" s="493"/>
      <c r="M304" s="493"/>
    </row>
    <row r="305" spans="1:13" s="88" customFormat="1" ht="16.5" customHeight="1">
      <c r="A305" s="496" t="s">
        <v>5785</v>
      </c>
      <c r="B305" s="496"/>
      <c r="C305" s="493" t="s">
        <v>5423</v>
      </c>
      <c r="D305" s="493"/>
      <c r="E305" s="493"/>
      <c r="F305" s="493"/>
      <c r="G305" s="493"/>
      <c r="H305" s="493"/>
      <c r="I305" s="493"/>
      <c r="J305" s="493"/>
      <c r="K305" s="493"/>
      <c r="L305" s="493"/>
      <c r="M305" s="493"/>
    </row>
    <row r="306" spans="1:13" s="88" customFormat="1" ht="16.5" customHeight="1">
      <c r="A306" s="89" t="s">
        <v>1223</v>
      </c>
      <c r="B306" s="92" t="s">
        <v>3299</v>
      </c>
      <c r="C306" s="493" t="s">
        <v>5403</v>
      </c>
      <c r="D306" s="493"/>
      <c r="E306" s="493"/>
      <c r="F306" s="493"/>
      <c r="G306" s="493"/>
      <c r="H306" s="493"/>
      <c r="I306" s="493"/>
      <c r="J306" s="493"/>
      <c r="K306" s="493"/>
      <c r="L306" s="493"/>
      <c r="M306" s="493"/>
    </row>
    <row r="307" spans="1:13" s="88" customFormat="1" ht="16.5" customHeight="1">
      <c r="A307" s="89"/>
      <c r="B307" s="92"/>
      <c r="C307" s="493"/>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24.75" customHeight="1">
      <c r="A310" s="89" t="s">
        <v>1229</v>
      </c>
      <c r="B310" s="673" t="s">
        <v>5404</v>
      </c>
      <c r="C310" s="673"/>
      <c r="D310" s="673"/>
      <c r="E310" s="673"/>
      <c r="F310" s="673"/>
      <c r="G310" s="673"/>
      <c r="H310" s="673"/>
      <c r="I310" s="673"/>
      <c r="J310" s="673"/>
      <c r="K310" s="673"/>
      <c r="L310" s="673"/>
      <c r="M310" s="67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row r="316" spans="1:13" ht="16.5" customHeight="1">
      <c r="B316" s="93"/>
      <c r="C316" s="93"/>
      <c r="D316" s="93"/>
      <c r="E316" s="104" t="s">
        <v>1238</v>
      </c>
      <c r="F316" s="93"/>
      <c r="G316" s="93"/>
      <c r="H316" s="93"/>
      <c r="I316" s="93"/>
    </row>
    <row r="317" spans="1:13" ht="16.5" customHeight="1">
      <c r="B317" s="93" t="s">
        <v>3630</v>
      </c>
      <c r="C317" s="93"/>
      <c r="D317" s="93" t="b">
        <f>ISNA(C317)</f>
        <v>0</v>
      </c>
      <c r="E317" s="108" t="s">
        <v>5424</v>
      </c>
      <c r="F317" s="93"/>
      <c r="G317" s="93"/>
      <c r="H317" s="93" t="b">
        <v>1</v>
      </c>
      <c r="I317" s="93" t="b">
        <v>0</v>
      </c>
    </row>
    <row r="318" spans="1:13" ht="16.5" customHeight="1">
      <c r="B318" s="147" t="s">
        <v>5407</v>
      </c>
      <c r="C318" s="93" t="str">
        <f>""</f>
        <v/>
      </c>
      <c r="D318" s="93" t="b">
        <f t="shared" ref="D318:D333" si="3">ISNA(C318)</f>
        <v>0</v>
      </c>
      <c r="E318" s="93"/>
      <c r="F318" s="93"/>
      <c r="G318" s="93"/>
      <c r="H318" s="94" t="s">
        <v>5408</v>
      </c>
      <c r="I318" s="94" t="s">
        <v>5409</v>
      </c>
    </row>
    <row r="319" spans="1:13" ht="16.5" customHeight="1">
      <c r="B319" s="93" t="s">
        <v>5410</v>
      </c>
      <c r="C319" s="93" t="s">
        <v>5411</v>
      </c>
      <c r="D319" s="93" t="b">
        <f t="shared" si="3"/>
        <v>0</v>
      </c>
      <c r="E319" s="93"/>
      <c r="F319" s="93"/>
      <c r="G319" s="93"/>
      <c r="H319" s="93"/>
      <c r="I319" s="93"/>
    </row>
    <row r="320" spans="1:13" ht="16.5" customHeight="1">
      <c r="B320" s="93" t="s">
        <v>3088</v>
      </c>
      <c r="C320" s="93" t="s">
        <v>1904</v>
      </c>
      <c r="D320" s="93" t="b">
        <f t="shared" si="3"/>
        <v>0</v>
      </c>
      <c r="E320" s="93"/>
      <c r="F320" s="93"/>
      <c r="G320" s="93"/>
      <c r="H320" s="93"/>
      <c r="I320" s="93"/>
    </row>
    <row r="321" spans="2:9" ht="16.5" customHeight="1">
      <c r="B321" s="93" t="s">
        <v>1371</v>
      </c>
      <c r="C321" s="148">
        <v>40834</v>
      </c>
      <c r="D321" s="93" t="b">
        <f t="shared" si="3"/>
        <v>0</v>
      </c>
      <c r="E321" s="93"/>
      <c r="F321" s="93"/>
      <c r="G321" s="93"/>
      <c r="H321" s="93"/>
      <c r="I321" s="93"/>
    </row>
    <row r="322" spans="2:9" ht="16.5" customHeight="1">
      <c r="B322" s="116" t="s">
        <v>5412</v>
      </c>
      <c r="C322" s="93" t="e">
        <f>1/0</f>
        <v>#DIV/0!</v>
      </c>
      <c r="D322" s="93" t="b">
        <f t="shared" si="3"/>
        <v>0</v>
      </c>
      <c r="E322" s="93"/>
      <c r="F322" s="93"/>
      <c r="G322" s="93"/>
      <c r="H322" s="93"/>
      <c r="I322" s="93"/>
    </row>
    <row r="323" spans="2:9" ht="16.5" customHeight="1">
      <c r="B323" s="93" t="s">
        <v>3632</v>
      </c>
      <c r="C323" s="93" t="e">
        <v>#VALUE!</v>
      </c>
      <c r="D323" s="93" t="b">
        <f t="shared" si="3"/>
        <v>0</v>
      </c>
      <c r="E323" s="93"/>
      <c r="F323" s="93"/>
      <c r="G323" s="93"/>
      <c r="H323" s="93"/>
      <c r="I323" s="93"/>
    </row>
    <row r="324" spans="2:9" ht="16.5" customHeight="1">
      <c r="B324" s="93" t="s">
        <v>3632</v>
      </c>
      <c r="C324" s="93" t="e">
        <v>#N/A</v>
      </c>
      <c r="D324" s="93" t="b">
        <f t="shared" si="3"/>
        <v>1</v>
      </c>
      <c r="E324" s="93"/>
      <c r="F324" s="93"/>
      <c r="G324" s="93"/>
      <c r="H324" s="93"/>
      <c r="I324" s="93"/>
    </row>
    <row r="325" spans="2:9" ht="16.5" customHeight="1">
      <c r="B325" s="93" t="s">
        <v>3632</v>
      </c>
      <c r="C325" s="93" t="e">
        <v>#REF!</v>
      </c>
      <c r="D325" s="93" t="b">
        <f t="shared" si="3"/>
        <v>0</v>
      </c>
      <c r="E325" s="93"/>
      <c r="F325" s="93"/>
      <c r="G325" s="93"/>
      <c r="H325" s="93"/>
      <c r="I325" s="93"/>
    </row>
    <row r="326" spans="2:9" ht="16.5" customHeight="1">
      <c r="B326" s="93" t="s">
        <v>3632</v>
      </c>
      <c r="C326" s="93" t="e">
        <v>#DIV/0!</v>
      </c>
      <c r="D326" s="93" t="b">
        <f t="shared" si="3"/>
        <v>0</v>
      </c>
      <c r="E326" s="93"/>
      <c r="F326" s="93"/>
      <c r="G326" s="93"/>
      <c r="H326" s="93"/>
      <c r="I326" s="93"/>
    </row>
    <row r="327" spans="2:9" ht="16.5" customHeight="1">
      <c r="B327" s="93" t="s">
        <v>3632</v>
      </c>
      <c r="C327" s="93" t="e">
        <v>#NUM!</v>
      </c>
      <c r="D327" s="93" t="b">
        <f t="shared" si="3"/>
        <v>0</v>
      </c>
      <c r="E327" s="93"/>
      <c r="F327" s="93"/>
      <c r="G327" s="93"/>
      <c r="H327" s="93"/>
      <c r="I327" s="93"/>
    </row>
    <row r="328" spans="2:9" ht="16.5" customHeight="1">
      <c r="B328" s="93" t="s">
        <v>3632</v>
      </c>
      <c r="C328" s="93" t="e">
        <v>#NAME?</v>
      </c>
      <c r="D328" s="93" t="b">
        <f t="shared" si="3"/>
        <v>0</v>
      </c>
      <c r="E328" s="93"/>
      <c r="F328" s="93"/>
      <c r="G328" s="93"/>
      <c r="H328" s="93"/>
      <c r="I328" s="93"/>
    </row>
    <row r="329" spans="2:9" ht="16.5" customHeight="1">
      <c r="B329" s="93" t="s">
        <v>3632</v>
      </c>
      <c r="C329" s="93" t="e">
        <v>#NULL!</v>
      </c>
      <c r="D329" s="93" t="b">
        <f t="shared" si="3"/>
        <v>0</v>
      </c>
      <c r="E329" s="93"/>
      <c r="F329" s="93"/>
      <c r="G329" s="93"/>
      <c r="H329" s="93"/>
      <c r="I329" s="93"/>
    </row>
    <row r="330" spans="2:9" ht="16.5" customHeight="1">
      <c r="B330" s="93" t="s">
        <v>2087</v>
      </c>
      <c r="C330" s="93">
        <v>6</v>
      </c>
      <c r="D330" s="93" t="b">
        <f t="shared" si="3"/>
        <v>0</v>
      </c>
    </row>
    <row r="331" spans="2:9" ht="16.5" customHeight="1">
      <c r="B331" s="93" t="s">
        <v>2087</v>
      </c>
      <c r="C331" s="93">
        <v>7</v>
      </c>
      <c r="D331" s="93" t="b">
        <f t="shared" si="3"/>
        <v>0</v>
      </c>
    </row>
    <row r="332" spans="2:9" ht="16.5" customHeight="1">
      <c r="B332" s="93" t="s">
        <v>3628</v>
      </c>
      <c r="C332" s="94" t="b">
        <v>1</v>
      </c>
      <c r="D332" s="93" t="b">
        <f t="shared" si="3"/>
        <v>0</v>
      </c>
    </row>
    <row r="333" spans="2:9" ht="16.5" customHeight="1">
      <c r="B333" s="93" t="s">
        <v>3628</v>
      </c>
      <c r="C333" s="94" t="b">
        <v>0</v>
      </c>
      <c r="D333" s="93" t="b">
        <f t="shared" si="3"/>
        <v>0</v>
      </c>
    </row>
    <row r="334" spans="2:9">
      <c r="B334" s="93"/>
      <c r="C334" s="93"/>
      <c r="D334" s="93"/>
    </row>
    <row r="400" spans="1:6" s="88" customFormat="1" ht="26.25" customHeight="1">
      <c r="A400" s="498" t="s">
        <v>976</v>
      </c>
      <c r="B400" s="498"/>
      <c r="C400" s="499"/>
      <c r="D400" s="87"/>
      <c r="E400" s="500" t="str">
        <f>HYPERLINK("#目录!A475","跳转回到目录页")</f>
        <v>跳转回到目录页</v>
      </c>
      <c r="F400" s="501"/>
    </row>
    <row r="401" spans="1:13" s="88" customFormat="1" ht="26.25" customHeight="1">
      <c r="A401" s="502" t="s">
        <v>1216</v>
      </c>
      <c r="B401" s="502"/>
      <c r="C401" s="503" t="s">
        <v>674</v>
      </c>
      <c r="D401" s="503"/>
      <c r="E401" s="503"/>
      <c r="F401" s="503"/>
      <c r="G401" s="503"/>
      <c r="H401" s="503"/>
      <c r="I401" s="503"/>
      <c r="J401" s="503"/>
      <c r="K401" s="503"/>
      <c r="L401" s="503"/>
      <c r="M401" s="503"/>
    </row>
    <row r="402" spans="1:13" s="88" customFormat="1" ht="16.5" customHeight="1">
      <c r="A402" s="496" t="s">
        <v>1217</v>
      </c>
      <c r="B402" s="496"/>
      <c r="C402" s="493" t="s">
        <v>674</v>
      </c>
      <c r="D402" s="493"/>
      <c r="E402" s="493"/>
      <c r="F402" s="493"/>
      <c r="G402" s="493"/>
      <c r="H402" s="493"/>
      <c r="I402" s="493"/>
      <c r="J402" s="493"/>
      <c r="K402" s="493"/>
      <c r="L402" s="493"/>
      <c r="M402" s="493"/>
    </row>
    <row r="403" spans="1:13" s="88" customFormat="1" ht="16.5" customHeight="1">
      <c r="A403" s="496" t="s">
        <v>5786</v>
      </c>
      <c r="B403" s="496"/>
      <c r="C403" s="497" t="s">
        <v>674</v>
      </c>
      <c r="D403" s="497"/>
      <c r="E403" s="497"/>
      <c r="F403" s="497"/>
      <c r="G403" s="497"/>
      <c r="H403" s="497"/>
      <c r="I403" s="497"/>
      <c r="J403" s="497"/>
      <c r="K403" s="497"/>
      <c r="L403" s="497"/>
      <c r="M403" s="497"/>
    </row>
    <row r="404" spans="1:13" s="88" customFormat="1" ht="16.5" customHeight="1">
      <c r="A404" s="496" t="s">
        <v>1220</v>
      </c>
      <c r="B404" s="496"/>
      <c r="C404" s="493" t="s">
        <v>5425</v>
      </c>
      <c r="D404" s="493"/>
      <c r="E404" s="493"/>
      <c r="F404" s="493"/>
      <c r="G404" s="493"/>
      <c r="H404" s="493"/>
      <c r="I404" s="493"/>
      <c r="J404" s="493"/>
      <c r="K404" s="493"/>
      <c r="L404" s="493"/>
      <c r="M404" s="493"/>
    </row>
    <row r="405" spans="1:13" s="88" customFormat="1" ht="16.5" customHeight="1">
      <c r="A405" s="496" t="s">
        <v>5785</v>
      </c>
      <c r="B405" s="496"/>
      <c r="C405" s="493" t="s">
        <v>5426</v>
      </c>
      <c r="D405" s="493"/>
      <c r="E405" s="493"/>
      <c r="F405" s="493"/>
      <c r="G405" s="493"/>
      <c r="H405" s="493"/>
      <c r="I405" s="493"/>
      <c r="J405" s="493"/>
      <c r="K405" s="493"/>
      <c r="L405" s="493"/>
      <c r="M405" s="493"/>
    </row>
    <row r="406" spans="1:13" s="88" customFormat="1" ht="16.5" customHeight="1">
      <c r="A406" s="89" t="s">
        <v>1223</v>
      </c>
      <c r="B406" s="92" t="s">
        <v>3299</v>
      </c>
      <c r="C406" s="493" t="s">
        <v>5403</v>
      </c>
      <c r="D406" s="493"/>
      <c r="E406" s="493"/>
      <c r="F406" s="493"/>
      <c r="G406" s="493"/>
      <c r="H406" s="493"/>
      <c r="I406" s="493"/>
      <c r="J406" s="493"/>
      <c r="K406" s="493"/>
      <c r="L406" s="493"/>
      <c r="M406" s="493"/>
    </row>
    <row r="407" spans="1:13" s="88" customFormat="1" ht="16.5" customHeight="1">
      <c r="A407" s="89"/>
      <c r="B407" s="92"/>
      <c r="C407" s="493"/>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38.25" customHeight="1">
      <c r="A410" s="89" t="s">
        <v>1229</v>
      </c>
      <c r="B410" s="673" t="s">
        <v>5427</v>
      </c>
      <c r="C410" s="673"/>
      <c r="D410" s="673"/>
      <c r="E410" s="673"/>
      <c r="F410" s="673"/>
      <c r="G410" s="673"/>
      <c r="H410" s="673"/>
      <c r="I410" s="673"/>
      <c r="J410" s="673"/>
      <c r="K410" s="673"/>
      <c r="L410" s="673"/>
      <c r="M410" s="673"/>
    </row>
    <row r="411" spans="1:13" ht="21" customHeight="1">
      <c r="B411" s="494" t="s">
        <v>2863</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4" spans="1:13" ht="16.5" customHeight="1"/>
    <row r="415" spans="1:13" ht="16.5" customHeight="1"/>
    <row r="416" spans="1:13" ht="16.5" customHeight="1">
      <c r="B416" s="93"/>
      <c r="C416" s="93"/>
      <c r="D416" s="93"/>
      <c r="E416" s="104" t="s">
        <v>1238</v>
      </c>
      <c r="F416" s="93"/>
      <c r="G416" s="93"/>
      <c r="H416" s="93"/>
      <c r="I416" s="93"/>
    </row>
    <row r="417" spans="1:9" ht="16.5" customHeight="1">
      <c r="B417" s="93" t="s">
        <v>3630</v>
      </c>
      <c r="C417" s="93"/>
      <c r="D417" s="93" t="b">
        <f t="shared" ref="D417:D433" si="4">ISEVEN(C417)</f>
        <v>1</v>
      </c>
      <c r="E417" s="108" t="s">
        <v>5428</v>
      </c>
      <c r="F417" s="93"/>
      <c r="G417" s="93"/>
      <c r="H417" s="93" t="b">
        <v>1</v>
      </c>
      <c r="I417" s="93" t="b">
        <v>0</v>
      </c>
    </row>
    <row r="418" spans="1:9" ht="16.5" customHeight="1">
      <c r="B418" s="147" t="s">
        <v>5407</v>
      </c>
      <c r="C418" s="93" t="str">
        <f>""</f>
        <v/>
      </c>
      <c r="D418" s="93" t="e">
        <f t="shared" si="4"/>
        <v>#VALUE!</v>
      </c>
      <c r="E418" s="93"/>
      <c r="F418" s="93"/>
      <c r="G418" s="93"/>
      <c r="H418" s="94" t="s">
        <v>5408</v>
      </c>
      <c r="I418" s="94" t="s">
        <v>5409</v>
      </c>
    </row>
    <row r="419" spans="1:9" ht="16.5" customHeight="1">
      <c r="B419" s="93" t="s">
        <v>5410</v>
      </c>
      <c r="C419" s="93" t="s">
        <v>5411</v>
      </c>
      <c r="D419" s="93" t="e">
        <f t="shared" si="4"/>
        <v>#VALUE!</v>
      </c>
      <c r="E419" s="93"/>
      <c r="F419" s="93"/>
      <c r="G419" s="93"/>
      <c r="H419" s="93"/>
      <c r="I419" s="93"/>
    </row>
    <row r="420" spans="1:9" ht="16.5" customHeight="1">
      <c r="B420" s="93" t="s">
        <v>3088</v>
      </c>
      <c r="C420" s="93" t="s">
        <v>1904</v>
      </c>
      <c r="D420" s="93" t="e">
        <f t="shared" si="4"/>
        <v>#VALUE!</v>
      </c>
      <c r="E420" s="93"/>
      <c r="F420" s="93"/>
      <c r="G420" s="93"/>
      <c r="H420" s="93"/>
      <c r="I420" s="93"/>
    </row>
    <row r="421" spans="1:9" ht="16.5" customHeight="1">
      <c r="B421" s="93" t="s">
        <v>1371</v>
      </c>
      <c r="C421" s="148">
        <v>40834</v>
      </c>
      <c r="D421" s="93" t="b">
        <f t="shared" si="4"/>
        <v>1</v>
      </c>
      <c r="E421" s="93"/>
      <c r="F421" s="93"/>
      <c r="G421" s="93"/>
      <c r="H421" s="93"/>
      <c r="I421" s="93"/>
    </row>
    <row r="422" spans="1:9" ht="16.5" customHeight="1">
      <c r="B422" s="116" t="s">
        <v>5412</v>
      </c>
      <c r="C422" s="93" t="e">
        <f>1/0</f>
        <v>#DIV/0!</v>
      </c>
      <c r="D422" s="93" t="e">
        <f t="shared" si="4"/>
        <v>#DIV/0!</v>
      </c>
      <c r="E422" s="93"/>
      <c r="F422" s="93"/>
      <c r="G422" s="93"/>
      <c r="H422" s="93"/>
      <c r="I422" s="93"/>
    </row>
    <row r="423" spans="1:9" ht="16.5" customHeight="1">
      <c r="B423" s="93" t="s">
        <v>3632</v>
      </c>
      <c r="C423" s="93" t="e">
        <v>#VALUE!</v>
      </c>
      <c r="D423" s="93" t="e">
        <f t="shared" si="4"/>
        <v>#VALUE!</v>
      </c>
      <c r="E423" s="93"/>
      <c r="F423" s="93"/>
      <c r="G423" s="93"/>
      <c r="H423" s="93"/>
      <c r="I423" s="93"/>
    </row>
    <row r="424" spans="1:9" ht="16.5" customHeight="1">
      <c r="B424" s="93" t="s">
        <v>3632</v>
      </c>
      <c r="C424" s="93" t="e">
        <v>#N/A</v>
      </c>
      <c r="D424" s="93" t="e">
        <f t="shared" si="4"/>
        <v>#N/A</v>
      </c>
      <c r="E424" s="93"/>
      <c r="F424" s="93"/>
      <c r="G424" s="93"/>
      <c r="H424" s="93"/>
      <c r="I424" s="93"/>
    </row>
    <row r="425" spans="1:9" ht="16.5" customHeight="1">
      <c r="B425" s="93" t="s">
        <v>3632</v>
      </c>
      <c r="C425" s="93" t="e">
        <v>#REF!</v>
      </c>
      <c r="D425" s="93" t="e">
        <f t="shared" si="4"/>
        <v>#REF!</v>
      </c>
      <c r="E425" s="93"/>
      <c r="F425" s="93"/>
      <c r="G425" s="93"/>
      <c r="H425" s="93"/>
      <c r="I425" s="93"/>
    </row>
    <row r="426" spans="1:9" ht="16.5" customHeight="1">
      <c r="B426" s="93" t="s">
        <v>3632</v>
      </c>
      <c r="C426" s="93" t="e">
        <v>#DIV/0!</v>
      </c>
      <c r="D426" s="93" t="e">
        <f t="shared" si="4"/>
        <v>#DIV/0!</v>
      </c>
      <c r="E426" s="93"/>
      <c r="F426" s="93"/>
      <c r="G426" s="93"/>
      <c r="H426" s="93"/>
      <c r="I426" s="93"/>
    </row>
    <row r="427" spans="1:9" ht="16.5" customHeight="1">
      <c r="A427" s="93"/>
      <c r="B427" s="93" t="s">
        <v>3632</v>
      </c>
      <c r="C427" s="93" t="e">
        <v>#NUM!</v>
      </c>
      <c r="D427" s="93" t="e">
        <f t="shared" si="4"/>
        <v>#NUM!</v>
      </c>
      <c r="E427" s="93"/>
      <c r="F427" s="93"/>
      <c r="G427" s="93"/>
      <c r="H427" s="93"/>
      <c r="I427" s="93"/>
    </row>
    <row r="428" spans="1:9" ht="16.5" customHeight="1">
      <c r="A428" s="93"/>
      <c r="B428" s="93" t="s">
        <v>3632</v>
      </c>
      <c r="C428" s="93" t="e">
        <v>#NAME?</v>
      </c>
      <c r="D428" s="93" t="e">
        <f t="shared" si="4"/>
        <v>#NAME?</v>
      </c>
      <c r="E428" s="93"/>
      <c r="F428" s="93"/>
      <c r="G428" s="93"/>
      <c r="H428" s="93"/>
      <c r="I428" s="93"/>
    </row>
    <row r="429" spans="1:9" ht="16.5" customHeight="1">
      <c r="A429" s="93"/>
      <c r="B429" s="93" t="s">
        <v>3632</v>
      </c>
      <c r="C429" s="93" t="e">
        <v>#NULL!</v>
      </c>
      <c r="D429" s="93" t="e">
        <f t="shared" si="4"/>
        <v>#NULL!</v>
      </c>
      <c r="E429" s="93"/>
      <c r="F429" s="93"/>
      <c r="G429" s="93"/>
      <c r="H429" s="93"/>
      <c r="I429" s="93"/>
    </row>
    <row r="430" spans="1:9" ht="16.5" customHeight="1">
      <c r="A430" s="93"/>
      <c r="B430" s="93" t="s">
        <v>2087</v>
      </c>
      <c r="C430" s="93">
        <v>6</v>
      </c>
      <c r="D430" s="93" t="b">
        <f t="shared" si="4"/>
        <v>1</v>
      </c>
      <c r="E430" s="93"/>
      <c r="F430" s="93"/>
      <c r="G430" s="93"/>
    </row>
    <row r="431" spans="1:9" ht="16.5" customHeight="1">
      <c r="A431" s="93"/>
      <c r="B431" s="93" t="s">
        <v>2087</v>
      </c>
      <c r="C431" s="93">
        <v>7</v>
      </c>
      <c r="D431" s="93" t="b">
        <f t="shared" si="4"/>
        <v>0</v>
      </c>
      <c r="E431" s="93"/>
      <c r="F431" s="93"/>
      <c r="G431" s="93"/>
    </row>
    <row r="432" spans="1:9" ht="16.5" customHeight="1">
      <c r="A432" s="93"/>
      <c r="B432" s="93" t="s">
        <v>3628</v>
      </c>
      <c r="C432" s="94" t="b">
        <v>1</v>
      </c>
      <c r="D432" s="93" t="e">
        <f t="shared" si="4"/>
        <v>#VALUE!</v>
      </c>
      <c r="E432" s="93"/>
      <c r="F432" s="93"/>
      <c r="G432" s="93"/>
    </row>
    <row r="433" spans="1:7" ht="16.5" customHeight="1">
      <c r="A433" s="93"/>
      <c r="B433" s="93" t="s">
        <v>3628</v>
      </c>
      <c r="C433" s="94" t="b">
        <v>0</v>
      </c>
      <c r="D433" s="93" t="e">
        <f t="shared" si="4"/>
        <v>#VALUE!</v>
      </c>
      <c r="E433" s="93"/>
      <c r="F433" s="93"/>
      <c r="G433" s="93"/>
    </row>
    <row r="434" spans="1:7" ht="16.5" customHeight="1">
      <c r="A434" s="93"/>
      <c r="B434" s="93"/>
      <c r="C434" s="93"/>
      <c r="D434" s="93"/>
      <c r="E434" s="93"/>
      <c r="F434" s="93"/>
      <c r="G434" s="93"/>
    </row>
    <row r="435" spans="1:7">
      <c r="A435" s="93"/>
      <c r="B435" s="93"/>
      <c r="C435" s="93"/>
      <c r="D435" s="93"/>
      <c r="E435" s="93"/>
      <c r="F435" s="93"/>
      <c r="G435" s="93"/>
    </row>
    <row r="500" spans="1:13" s="88" customFormat="1" ht="26.25" customHeight="1">
      <c r="A500" s="498" t="s">
        <v>986</v>
      </c>
      <c r="B500" s="498"/>
      <c r="C500" s="499"/>
      <c r="D500" s="87"/>
      <c r="E500" s="500" t="str">
        <f>HYPERLINK("#目录!A476","跳转回到目录页")</f>
        <v>跳转回到目录页</v>
      </c>
      <c r="F500" s="501"/>
    </row>
    <row r="501" spans="1:13" s="88" customFormat="1" ht="26.25" customHeight="1">
      <c r="A501" s="502" t="s">
        <v>1216</v>
      </c>
      <c r="B501" s="502"/>
      <c r="C501" s="503" t="s">
        <v>675</v>
      </c>
      <c r="D501" s="503"/>
      <c r="E501" s="503"/>
      <c r="F501" s="503"/>
      <c r="G501" s="503"/>
      <c r="H501" s="503"/>
      <c r="I501" s="503"/>
      <c r="J501" s="503"/>
      <c r="K501" s="503"/>
      <c r="L501" s="503"/>
      <c r="M501" s="503"/>
    </row>
    <row r="502" spans="1:13" s="88" customFormat="1" ht="16.5" customHeight="1">
      <c r="A502" s="496" t="s">
        <v>1217</v>
      </c>
      <c r="B502" s="496"/>
      <c r="C502" s="493" t="s">
        <v>675</v>
      </c>
      <c r="D502" s="493"/>
      <c r="E502" s="493"/>
      <c r="F502" s="493"/>
      <c r="G502" s="493"/>
      <c r="H502" s="493"/>
      <c r="I502" s="493"/>
      <c r="J502" s="493"/>
      <c r="K502" s="493"/>
      <c r="L502" s="493"/>
      <c r="M502" s="493"/>
    </row>
    <row r="503" spans="1:13" s="88" customFormat="1" ht="16.5" customHeight="1">
      <c r="A503" s="496" t="s">
        <v>5786</v>
      </c>
      <c r="B503" s="496"/>
      <c r="C503" s="497" t="s">
        <v>675</v>
      </c>
      <c r="D503" s="497"/>
      <c r="E503" s="497"/>
      <c r="F503" s="497"/>
      <c r="G503" s="497"/>
      <c r="H503" s="497"/>
      <c r="I503" s="497"/>
      <c r="J503" s="497"/>
      <c r="K503" s="497"/>
      <c r="L503" s="497"/>
      <c r="M503" s="497"/>
    </row>
    <row r="504" spans="1:13" s="88" customFormat="1" ht="16.5" customHeight="1">
      <c r="A504" s="496" t="s">
        <v>1220</v>
      </c>
      <c r="B504" s="496"/>
      <c r="C504" s="493" t="s">
        <v>5429</v>
      </c>
      <c r="D504" s="493"/>
      <c r="E504" s="493"/>
      <c r="F504" s="493"/>
      <c r="G504" s="493"/>
      <c r="H504" s="493"/>
      <c r="I504" s="493"/>
      <c r="J504" s="493"/>
      <c r="K504" s="493"/>
      <c r="L504" s="493"/>
      <c r="M504" s="493"/>
    </row>
    <row r="505" spans="1:13" s="88" customFormat="1" ht="16.5" customHeight="1">
      <c r="A505" s="496" t="s">
        <v>5785</v>
      </c>
      <c r="B505" s="496"/>
      <c r="C505" s="493" t="s">
        <v>5430</v>
      </c>
      <c r="D505" s="493"/>
      <c r="E505" s="493"/>
      <c r="F505" s="493"/>
      <c r="G505" s="493"/>
      <c r="H505" s="493"/>
      <c r="I505" s="493"/>
      <c r="J505" s="493"/>
      <c r="K505" s="493"/>
      <c r="L505" s="493"/>
      <c r="M505" s="493"/>
    </row>
    <row r="506" spans="1:13" s="88" customFormat="1" ht="16.5" customHeight="1">
      <c r="A506" s="89" t="s">
        <v>1223</v>
      </c>
      <c r="B506" s="92" t="s">
        <v>3299</v>
      </c>
      <c r="C506" s="493" t="s">
        <v>5403</v>
      </c>
      <c r="D506" s="493"/>
      <c r="E506" s="493"/>
      <c r="F506" s="493"/>
      <c r="G506" s="493"/>
      <c r="H506" s="493"/>
      <c r="I506" s="493"/>
      <c r="J506" s="493"/>
      <c r="K506" s="493"/>
      <c r="L506" s="493"/>
      <c r="M506" s="493"/>
    </row>
    <row r="507" spans="1:13" s="88" customFormat="1" ht="16.5" customHeight="1">
      <c r="A507" s="89"/>
      <c r="B507" s="92"/>
      <c r="C507" s="493"/>
      <c r="D507" s="493"/>
      <c r="E507" s="493"/>
      <c r="F507" s="493"/>
      <c r="G507" s="493"/>
      <c r="H507" s="493"/>
      <c r="I507" s="493"/>
      <c r="J507" s="493"/>
      <c r="K507" s="493"/>
      <c r="L507" s="493"/>
      <c r="M507" s="493"/>
    </row>
    <row r="508" spans="1:13" s="88" customFormat="1" ht="16.5" customHeight="1">
      <c r="A508" s="89"/>
      <c r="B508" s="90"/>
      <c r="C508" s="493"/>
      <c r="D508" s="493"/>
      <c r="E508" s="493"/>
      <c r="F508" s="493"/>
      <c r="G508" s="493"/>
      <c r="H508" s="493"/>
      <c r="I508" s="493"/>
      <c r="J508" s="493"/>
      <c r="K508" s="493"/>
      <c r="L508" s="493"/>
      <c r="M508" s="493"/>
    </row>
    <row r="509" spans="1:13" s="88" customFormat="1" ht="16.5" customHeight="1">
      <c r="A509" s="89" t="s">
        <v>1228</v>
      </c>
      <c r="B509" s="493"/>
      <c r="C509" s="493"/>
      <c r="D509" s="493"/>
      <c r="E509" s="493"/>
      <c r="F509" s="493"/>
      <c r="G509" s="493"/>
      <c r="H509" s="493"/>
      <c r="I509" s="493"/>
      <c r="J509" s="493"/>
      <c r="K509" s="493"/>
      <c r="L509" s="493"/>
      <c r="M509" s="493"/>
    </row>
    <row r="510" spans="1:13" ht="38.25" customHeight="1">
      <c r="A510" s="89" t="s">
        <v>1229</v>
      </c>
      <c r="B510" s="673" t="s">
        <v>5427</v>
      </c>
      <c r="C510" s="673"/>
      <c r="D510" s="673"/>
      <c r="E510" s="673"/>
      <c r="F510" s="673"/>
      <c r="G510" s="673"/>
      <c r="H510" s="673"/>
      <c r="I510" s="673"/>
      <c r="J510" s="673"/>
      <c r="K510" s="673"/>
      <c r="L510" s="673"/>
      <c r="M510" s="673"/>
    </row>
    <row r="511" spans="1:13" ht="21" customHeight="1">
      <c r="B511" s="494" t="s">
        <v>2863</v>
      </c>
      <c r="C511" s="494"/>
      <c r="D511" s="494"/>
      <c r="E511" s="494"/>
      <c r="F511" s="494"/>
      <c r="G511" s="494"/>
      <c r="H511" s="494"/>
      <c r="I511" s="494"/>
      <c r="J511" s="494"/>
      <c r="K511" s="494"/>
      <c r="L511" s="495"/>
    </row>
    <row r="512" spans="1:13" s="93" customFormat="1" ht="16.5" customHeight="1"/>
    <row r="513" spans="1:9" s="93" customFormat="1" ht="16.5" customHeight="1">
      <c r="A513" s="94" t="s">
        <v>1232</v>
      </c>
      <c r="B513" s="93" t="s">
        <v>1773</v>
      </c>
    </row>
    <row r="514" spans="1:9" ht="16.5" customHeight="1"/>
    <row r="515" spans="1:9" ht="16.5" customHeight="1"/>
    <row r="516" spans="1:9" ht="16.5" customHeight="1">
      <c r="B516" s="93"/>
      <c r="C516" s="93"/>
      <c r="D516" s="93"/>
      <c r="E516" s="104" t="s">
        <v>1238</v>
      </c>
      <c r="F516" s="93"/>
      <c r="G516" s="93"/>
      <c r="H516" s="93"/>
      <c r="I516" s="93"/>
    </row>
    <row r="517" spans="1:9" ht="16.5" customHeight="1">
      <c r="B517" s="93" t="s">
        <v>3630</v>
      </c>
      <c r="C517" s="93"/>
      <c r="D517" s="93" t="b">
        <f t="shared" ref="D517:D533" si="5">ISODD(C517)</f>
        <v>0</v>
      </c>
      <c r="E517" s="108" t="s">
        <v>5431</v>
      </c>
      <c r="F517" s="93"/>
      <c r="G517" s="93"/>
      <c r="H517" s="93" t="b">
        <v>1</v>
      </c>
      <c r="I517" s="93" t="b">
        <v>0</v>
      </c>
    </row>
    <row r="518" spans="1:9" ht="16.5" customHeight="1">
      <c r="B518" s="147" t="s">
        <v>5407</v>
      </c>
      <c r="C518" s="93" t="str">
        <f>""</f>
        <v/>
      </c>
      <c r="D518" s="93" t="e">
        <f t="shared" si="5"/>
        <v>#VALUE!</v>
      </c>
      <c r="E518" s="93"/>
      <c r="F518" s="93"/>
      <c r="G518" s="93"/>
      <c r="H518" s="94" t="s">
        <v>5408</v>
      </c>
      <c r="I518" s="94" t="s">
        <v>5409</v>
      </c>
    </row>
    <row r="519" spans="1:9" ht="16.5" customHeight="1">
      <c r="B519" s="93" t="s">
        <v>5410</v>
      </c>
      <c r="C519" s="93" t="s">
        <v>5411</v>
      </c>
      <c r="D519" s="93" t="e">
        <f t="shared" si="5"/>
        <v>#VALUE!</v>
      </c>
      <c r="E519" s="93"/>
      <c r="F519" s="93"/>
      <c r="G519" s="93"/>
      <c r="H519" s="93"/>
      <c r="I519" s="93"/>
    </row>
    <row r="520" spans="1:9" ht="16.5" customHeight="1">
      <c r="B520" s="93" t="s">
        <v>3088</v>
      </c>
      <c r="C520" s="93" t="s">
        <v>1904</v>
      </c>
      <c r="D520" s="93" t="e">
        <f t="shared" si="5"/>
        <v>#VALUE!</v>
      </c>
      <c r="E520" s="93"/>
      <c r="F520" s="93"/>
      <c r="G520" s="93"/>
      <c r="H520" s="93"/>
      <c r="I520" s="93"/>
    </row>
    <row r="521" spans="1:9" ht="16.5" customHeight="1">
      <c r="B521" s="93" t="s">
        <v>1371</v>
      </c>
      <c r="C521" s="148">
        <v>40834</v>
      </c>
      <c r="D521" s="93" t="b">
        <f t="shared" si="5"/>
        <v>0</v>
      </c>
      <c r="E521" s="93"/>
      <c r="F521" s="93"/>
      <c r="G521" s="93"/>
      <c r="H521" s="93"/>
      <c r="I521" s="93"/>
    </row>
    <row r="522" spans="1:9" ht="16.5" customHeight="1">
      <c r="B522" s="116" t="s">
        <v>5412</v>
      </c>
      <c r="C522" s="93" t="e">
        <f>1/0</f>
        <v>#DIV/0!</v>
      </c>
      <c r="D522" s="93" t="e">
        <f t="shared" si="5"/>
        <v>#DIV/0!</v>
      </c>
      <c r="E522" s="93"/>
      <c r="F522" s="93"/>
      <c r="G522" s="93"/>
      <c r="H522" s="93"/>
      <c r="I522" s="93"/>
    </row>
    <row r="523" spans="1:9" ht="16.5" customHeight="1">
      <c r="B523" s="93" t="s">
        <v>3632</v>
      </c>
      <c r="C523" s="93" t="e">
        <v>#VALUE!</v>
      </c>
      <c r="D523" s="93" t="e">
        <f t="shared" si="5"/>
        <v>#VALUE!</v>
      </c>
      <c r="E523" s="93"/>
      <c r="F523" s="93"/>
      <c r="G523" s="93"/>
      <c r="H523" s="93"/>
      <c r="I523" s="93"/>
    </row>
    <row r="524" spans="1:9" ht="16.5" customHeight="1">
      <c r="B524" s="93" t="s">
        <v>3632</v>
      </c>
      <c r="C524" s="93" t="e">
        <v>#N/A</v>
      </c>
      <c r="D524" s="93" t="e">
        <f t="shared" si="5"/>
        <v>#N/A</v>
      </c>
      <c r="E524" s="93"/>
      <c r="F524" s="93"/>
      <c r="G524" s="93"/>
      <c r="H524" s="93"/>
      <c r="I524" s="93"/>
    </row>
    <row r="525" spans="1:9" ht="16.5" customHeight="1">
      <c r="B525" s="93" t="s">
        <v>3632</v>
      </c>
      <c r="C525" s="93" t="e">
        <v>#REF!</v>
      </c>
      <c r="D525" s="93" t="e">
        <f t="shared" si="5"/>
        <v>#REF!</v>
      </c>
      <c r="E525" s="93"/>
      <c r="F525" s="93"/>
      <c r="G525" s="93"/>
      <c r="H525" s="93"/>
      <c r="I525" s="93"/>
    </row>
    <row r="526" spans="1:9" ht="16.5" customHeight="1">
      <c r="B526" s="93" t="s">
        <v>3632</v>
      </c>
      <c r="C526" s="93" t="e">
        <v>#DIV/0!</v>
      </c>
      <c r="D526" s="93" t="e">
        <f t="shared" si="5"/>
        <v>#DIV/0!</v>
      </c>
      <c r="E526" s="93"/>
      <c r="F526" s="93"/>
      <c r="G526" s="93"/>
      <c r="H526" s="93"/>
      <c r="I526" s="93"/>
    </row>
    <row r="527" spans="1:9" ht="16.5" customHeight="1">
      <c r="B527" s="93" t="s">
        <v>3632</v>
      </c>
      <c r="C527" s="93" t="e">
        <v>#NUM!</v>
      </c>
      <c r="D527" s="93" t="e">
        <f t="shared" si="5"/>
        <v>#NUM!</v>
      </c>
      <c r="E527" s="93"/>
      <c r="F527" s="93"/>
      <c r="G527" s="93"/>
      <c r="H527" s="93"/>
      <c r="I527" s="93"/>
    </row>
    <row r="528" spans="1:9" ht="16.5" customHeight="1">
      <c r="B528" s="93" t="s">
        <v>3632</v>
      </c>
      <c r="C528" s="93" t="e">
        <v>#NAME?</v>
      </c>
      <c r="D528" s="93" t="e">
        <f t="shared" si="5"/>
        <v>#NAME?</v>
      </c>
      <c r="E528" s="93"/>
      <c r="F528" s="93"/>
      <c r="G528" s="93"/>
      <c r="H528" s="93"/>
      <c r="I528" s="93"/>
    </row>
    <row r="529" spans="2:9" ht="16.5" customHeight="1">
      <c r="B529" s="93" t="s">
        <v>3632</v>
      </c>
      <c r="C529" s="93" t="e">
        <v>#NULL!</v>
      </c>
      <c r="D529" s="93" t="e">
        <f t="shared" si="5"/>
        <v>#NULL!</v>
      </c>
      <c r="E529" s="93"/>
      <c r="F529" s="93"/>
      <c r="G529" s="93"/>
      <c r="H529" s="93"/>
      <c r="I529" s="93"/>
    </row>
    <row r="530" spans="2:9" ht="16.5" customHeight="1">
      <c r="B530" s="93" t="s">
        <v>2087</v>
      </c>
      <c r="C530" s="93">
        <v>6</v>
      </c>
      <c r="D530" s="93" t="b">
        <f t="shared" si="5"/>
        <v>0</v>
      </c>
      <c r="E530" s="93"/>
      <c r="F530" s="93"/>
      <c r="G530" s="93"/>
    </row>
    <row r="531" spans="2:9" ht="16.5" customHeight="1">
      <c r="B531" s="93" t="s">
        <v>2087</v>
      </c>
      <c r="C531" s="93">
        <v>7</v>
      </c>
      <c r="D531" s="93" t="b">
        <f t="shared" si="5"/>
        <v>1</v>
      </c>
      <c r="E531" s="93"/>
      <c r="F531" s="93"/>
      <c r="G531" s="93"/>
    </row>
    <row r="532" spans="2:9" ht="16.5" customHeight="1">
      <c r="B532" s="93" t="s">
        <v>3628</v>
      </c>
      <c r="C532" s="94" t="b">
        <v>1</v>
      </c>
      <c r="D532" s="93" t="e">
        <f t="shared" si="5"/>
        <v>#VALUE!</v>
      </c>
    </row>
    <row r="533" spans="2:9" ht="16.5" customHeight="1">
      <c r="B533" s="93" t="s">
        <v>3628</v>
      </c>
      <c r="C533" s="94" t="b">
        <v>0</v>
      </c>
      <c r="D533" s="93" t="e">
        <f t="shared" si="5"/>
        <v>#VALUE!</v>
      </c>
    </row>
    <row r="600" spans="1:13" s="88" customFormat="1" ht="26.25" customHeight="1">
      <c r="A600" s="498" t="s">
        <v>978</v>
      </c>
      <c r="B600" s="498"/>
      <c r="C600" s="499"/>
      <c r="D600" s="87"/>
      <c r="E600" s="500" t="str">
        <f>HYPERLINK("#目录!A477","跳转回到目录页")</f>
        <v>跳转回到目录页</v>
      </c>
      <c r="F600" s="501"/>
    </row>
    <row r="601" spans="1:13" s="88" customFormat="1" ht="26.25" customHeight="1">
      <c r="A601" s="502" t="s">
        <v>1216</v>
      </c>
      <c r="B601" s="502"/>
      <c r="C601" s="503" t="s">
        <v>676</v>
      </c>
      <c r="D601" s="503"/>
      <c r="E601" s="503"/>
      <c r="F601" s="503"/>
      <c r="G601" s="503"/>
      <c r="H601" s="503"/>
      <c r="I601" s="503"/>
      <c r="J601" s="503"/>
      <c r="K601" s="503"/>
      <c r="L601" s="503"/>
      <c r="M601" s="503"/>
    </row>
    <row r="602" spans="1:13" s="88" customFormat="1" ht="16.5" customHeight="1">
      <c r="A602" s="496" t="s">
        <v>1217</v>
      </c>
      <c r="B602" s="496"/>
      <c r="C602" s="493" t="s">
        <v>5432</v>
      </c>
      <c r="D602" s="493"/>
      <c r="E602" s="493"/>
      <c r="F602" s="493"/>
      <c r="G602" s="493"/>
      <c r="H602" s="493"/>
      <c r="I602" s="493"/>
      <c r="J602" s="493"/>
      <c r="K602" s="493"/>
      <c r="L602" s="493"/>
      <c r="M602" s="493"/>
    </row>
    <row r="603" spans="1:13" s="88" customFormat="1" ht="16.5" customHeight="1">
      <c r="A603" s="496" t="s">
        <v>5786</v>
      </c>
      <c r="B603" s="496"/>
      <c r="C603" s="497" t="s">
        <v>676</v>
      </c>
      <c r="D603" s="497"/>
      <c r="E603" s="497"/>
      <c r="F603" s="497"/>
      <c r="G603" s="497"/>
      <c r="H603" s="497"/>
      <c r="I603" s="497"/>
      <c r="J603" s="497"/>
      <c r="K603" s="497"/>
      <c r="L603" s="497"/>
      <c r="M603" s="497"/>
    </row>
    <row r="604" spans="1:13" s="88" customFormat="1" ht="16.5" customHeight="1">
      <c r="A604" s="496" t="s">
        <v>1220</v>
      </c>
      <c r="B604" s="496"/>
      <c r="C604" s="493" t="s">
        <v>5433</v>
      </c>
      <c r="D604" s="493"/>
      <c r="E604" s="493"/>
      <c r="F604" s="493"/>
      <c r="G604" s="493"/>
      <c r="H604" s="493"/>
      <c r="I604" s="493"/>
      <c r="J604" s="493"/>
      <c r="K604" s="493"/>
      <c r="L604" s="493"/>
      <c r="M604" s="493"/>
    </row>
    <row r="605" spans="1:13" s="88" customFormat="1" ht="16.5" customHeight="1">
      <c r="A605" s="496" t="s">
        <v>5785</v>
      </c>
      <c r="B605" s="496"/>
      <c r="C605" s="493" t="s">
        <v>5434</v>
      </c>
      <c r="D605" s="493"/>
      <c r="E605" s="493"/>
      <c r="F605" s="493"/>
      <c r="G605" s="493"/>
      <c r="H605" s="493"/>
      <c r="I605" s="493"/>
      <c r="J605" s="493"/>
      <c r="K605" s="493"/>
      <c r="L605" s="493"/>
      <c r="M605" s="493"/>
    </row>
    <row r="606" spans="1:13" s="88" customFormat="1" ht="16.5" customHeight="1">
      <c r="A606" s="89" t="s">
        <v>1223</v>
      </c>
      <c r="B606" s="92" t="s">
        <v>3299</v>
      </c>
      <c r="C606" s="493" t="s">
        <v>5403</v>
      </c>
      <c r="D606" s="493"/>
      <c r="E606" s="493"/>
      <c r="F606" s="493"/>
      <c r="G606" s="493"/>
      <c r="H606" s="493"/>
      <c r="I606" s="493"/>
      <c r="J606" s="493"/>
      <c r="K606" s="493"/>
      <c r="L606" s="493"/>
      <c r="M606" s="493"/>
    </row>
    <row r="607" spans="1:13" s="88" customFormat="1" ht="16.5" customHeight="1">
      <c r="A607" s="89"/>
      <c r="B607" s="92"/>
      <c r="C607" s="493"/>
      <c r="D607" s="493"/>
      <c r="E607" s="493"/>
      <c r="F607" s="493"/>
      <c r="G607" s="493"/>
      <c r="H607" s="493"/>
      <c r="I607" s="493"/>
      <c r="J607" s="493"/>
      <c r="K607" s="493"/>
      <c r="L607" s="493"/>
      <c r="M607" s="493"/>
    </row>
    <row r="608" spans="1:13" s="88" customFormat="1" ht="16.5" customHeight="1">
      <c r="A608" s="89"/>
      <c r="B608" s="90"/>
      <c r="C608" s="493"/>
      <c r="D608" s="493"/>
      <c r="E608" s="493"/>
      <c r="F608" s="493"/>
      <c r="G608" s="493"/>
      <c r="H608" s="493"/>
      <c r="I608" s="493"/>
      <c r="J608" s="493"/>
      <c r="K608" s="493"/>
      <c r="L608" s="493"/>
      <c r="M608" s="493"/>
    </row>
    <row r="609" spans="1:13" s="88" customFormat="1" ht="16.5" customHeight="1">
      <c r="A609" s="89" t="s">
        <v>1228</v>
      </c>
      <c r="B609" s="493"/>
      <c r="C609" s="493"/>
      <c r="D609" s="493"/>
      <c r="E609" s="493"/>
      <c r="F609" s="493"/>
      <c r="G609" s="493"/>
      <c r="H609" s="493"/>
      <c r="I609" s="493"/>
      <c r="J609" s="493"/>
      <c r="K609" s="493"/>
      <c r="L609" s="493"/>
      <c r="M609" s="493"/>
    </row>
    <row r="610" spans="1:13" ht="24.75" customHeight="1">
      <c r="A610" s="89" t="s">
        <v>1229</v>
      </c>
      <c r="B610" s="673" t="s">
        <v>5404</v>
      </c>
      <c r="C610" s="673"/>
      <c r="D610" s="673"/>
      <c r="E610" s="673"/>
      <c r="F610" s="673"/>
      <c r="G610" s="673"/>
      <c r="H610" s="673"/>
      <c r="I610" s="673"/>
      <c r="J610" s="673"/>
      <c r="K610" s="673"/>
      <c r="L610" s="673"/>
      <c r="M610" s="673"/>
    </row>
    <row r="611" spans="1:13" ht="21" customHeight="1">
      <c r="B611" s="494" t="s">
        <v>2863</v>
      </c>
      <c r="C611" s="494"/>
      <c r="D611" s="494"/>
      <c r="E611" s="494"/>
      <c r="F611" s="494"/>
      <c r="G611" s="494"/>
      <c r="H611" s="494"/>
      <c r="I611" s="494"/>
      <c r="J611" s="494"/>
      <c r="K611" s="494"/>
      <c r="L611" s="495"/>
    </row>
    <row r="612" spans="1:13" s="93" customFormat="1" ht="16.5" customHeight="1"/>
    <row r="613" spans="1:13" s="93" customFormat="1" ht="16.5" customHeight="1">
      <c r="A613" s="94" t="s">
        <v>1232</v>
      </c>
      <c r="B613" s="93" t="s">
        <v>1773</v>
      </c>
    </row>
    <row r="614" spans="1:13" ht="16.5" customHeight="1"/>
    <row r="615" spans="1:13" ht="16.5" customHeight="1"/>
    <row r="616" spans="1:13" ht="16.5" customHeight="1">
      <c r="B616" s="93"/>
      <c r="C616" s="93"/>
      <c r="D616" s="93"/>
      <c r="E616" s="104" t="s">
        <v>1238</v>
      </c>
      <c r="F616" s="93"/>
      <c r="G616" s="93"/>
      <c r="H616" s="93"/>
      <c r="I616" s="93"/>
    </row>
    <row r="617" spans="1:13" ht="16.5" customHeight="1">
      <c r="B617" s="93" t="s">
        <v>3630</v>
      </c>
      <c r="C617" s="93"/>
      <c r="D617" s="93" t="b">
        <f>ISLOGICAL(C617)</f>
        <v>0</v>
      </c>
      <c r="E617" s="108" t="s">
        <v>5435</v>
      </c>
      <c r="F617" s="93"/>
      <c r="G617" s="93"/>
      <c r="H617" s="93" t="b">
        <v>1</v>
      </c>
      <c r="I617" s="93" t="b">
        <v>0</v>
      </c>
    </row>
    <row r="618" spans="1:13" ht="16.5" customHeight="1">
      <c r="B618" s="147" t="s">
        <v>5407</v>
      </c>
      <c r="C618" s="93" t="str">
        <f>""</f>
        <v/>
      </c>
      <c r="D618" s="93" t="b">
        <f t="shared" ref="D618:D633" si="6">ISLOGICAL(C618)</f>
        <v>0</v>
      </c>
      <c r="E618" s="93"/>
      <c r="F618" s="93"/>
      <c r="G618" s="93"/>
      <c r="H618" s="94" t="s">
        <v>5408</v>
      </c>
      <c r="I618" s="94" t="s">
        <v>5409</v>
      </c>
    </row>
    <row r="619" spans="1:13" ht="16.5" customHeight="1">
      <c r="B619" s="93" t="s">
        <v>5410</v>
      </c>
      <c r="C619" s="93" t="s">
        <v>5411</v>
      </c>
      <c r="D619" s="93" t="b">
        <f t="shared" si="6"/>
        <v>0</v>
      </c>
      <c r="E619" s="93"/>
      <c r="F619" s="93"/>
      <c r="G619" s="93"/>
      <c r="H619" s="93"/>
      <c r="I619" s="93"/>
    </row>
    <row r="620" spans="1:13" ht="16.5" customHeight="1">
      <c r="B620" s="93" t="s">
        <v>3088</v>
      </c>
      <c r="C620" s="93" t="s">
        <v>1904</v>
      </c>
      <c r="D620" s="93" t="b">
        <f t="shared" si="6"/>
        <v>0</v>
      </c>
      <c r="E620" s="93"/>
      <c r="F620" s="93"/>
      <c r="G620" s="93"/>
      <c r="H620" s="93"/>
      <c r="I620" s="93"/>
    </row>
    <row r="621" spans="1:13" ht="16.5" customHeight="1">
      <c r="B621" s="93" t="s">
        <v>1371</v>
      </c>
      <c r="C621" s="148">
        <v>40834</v>
      </c>
      <c r="D621" s="93" t="b">
        <f t="shared" si="6"/>
        <v>0</v>
      </c>
      <c r="E621" s="93"/>
      <c r="F621" s="93"/>
      <c r="G621" s="93"/>
      <c r="H621" s="93"/>
      <c r="I621" s="93"/>
    </row>
    <row r="622" spans="1:13" ht="16.5" customHeight="1">
      <c r="B622" s="116" t="s">
        <v>5412</v>
      </c>
      <c r="C622" s="93" t="e">
        <f>1/0</f>
        <v>#DIV/0!</v>
      </c>
      <c r="D622" s="93" t="b">
        <f t="shared" si="6"/>
        <v>0</v>
      </c>
      <c r="E622" s="93"/>
      <c r="F622" s="93"/>
      <c r="G622" s="93"/>
      <c r="H622" s="93"/>
      <c r="I622" s="93"/>
    </row>
    <row r="623" spans="1:13" ht="16.5" customHeight="1">
      <c r="B623" s="93" t="s">
        <v>3632</v>
      </c>
      <c r="C623" s="93" t="e">
        <v>#VALUE!</v>
      </c>
      <c r="D623" s="93" t="b">
        <f t="shared" si="6"/>
        <v>0</v>
      </c>
      <c r="E623" s="93"/>
      <c r="F623" s="93"/>
      <c r="G623" s="93"/>
      <c r="H623" s="93"/>
      <c r="I623" s="93"/>
    </row>
    <row r="624" spans="1:13" ht="16.5" customHeight="1">
      <c r="B624" s="93" t="s">
        <v>3632</v>
      </c>
      <c r="C624" s="93" t="e">
        <v>#N/A</v>
      </c>
      <c r="D624" s="93" t="b">
        <f t="shared" si="6"/>
        <v>0</v>
      </c>
      <c r="E624" s="93"/>
      <c r="F624" s="93"/>
      <c r="G624" s="93"/>
      <c r="H624" s="93"/>
      <c r="I624" s="93"/>
    </row>
    <row r="625" spans="1:10" ht="16.5" customHeight="1">
      <c r="B625" s="93" t="s">
        <v>3632</v>
      </c>
      <c r="C625" s="93" t="e">
        <v>#REF!</v>
      </c>
      <c r="D625" s="93" t="b">
        <f t="shared" si="6"/>
        <v>0</v>
      </c>
      <c r="E625" s="93"/>
      <c r="F625" s="93"/>
      <c r="G625" s="93"/>
      <c r="H625" s="93"/>
      <c r="I625" s="93"/>
    </row>
    <row r="626" spans="1:10" ht="16.5" customHeight="1">
      <c r="B626" s="93" t="s">
        <v>3632</v>
      </c>
      <c r="C626" s="93" t="e">
        <v>#DIV/0!</v>
      </c>
      <c r="D626" s="93" t="b">
        <f t="shared" si="6"/>
        <v>0</v>
      </c>
      <c r="E626" s="93"/>
      <c r="F626" s="93"/>
      <c r="G626" s="93"/>
      <c r="H626" s="93"/>
      <c r="I626" s="93"/>
    </row>
    <row r="627" spans="1:10" ht="16.5" customHeight="1">
      <c r="A627" s="93"/>
      <c r="B627" s="93" t="s">
        <v>3632</v>
      </c>
      <c r="C627" s="93" t="e">
        <v>#NUM!</v>
      </c>
      <c r="D627" s="93" t="b">
        <f t="shared" si="6"/>
        <v>0</v>
      </c>
      <c r="E627" s="93"/>
      <c r="F627" s="93"/>
      <c r="G627" s="93"/>
      <c r="H627" s="93"/>
      <c r="I627" s="93"/>
      <c r="J627" s="93"/>
    </row>
    <row r="628" spans="1:10" ht="16.5" customHeight="1">
      <c r="A628" s="93"/>
      <c r="B628" s="93" t="s">
        <v>3632</v>
      </c>
      <c r="C628" s="93" t="e">
        <v>#NAME?</v>
      </c>
      <c r="D628" s="93" t="b">
        <f t="shared" si="6"/>
        <v>0</v>
      </c>
      <c r="E628" s="93"/>
      <c r="F628" s="93"/>
      <c r="G628" s="93"/>
      <c r="H628" s="93"/>
      <c r="I628" s="93"/>
      <c r="J628" s="93"/>
    </row>
    <row r="629" spans="1:10" ht="16.5" customHeight="1">
      <c r="A629" s="93"/>
      <c r="B629" s="93" t="s">
        <v>3632</v>
      </c>
      <c r="C629" s="93" t="e">
        <v>#NULL!</v>
      </c>
      <c r="D629" s="93" t="b">
        <f t="shared" si="6"/>
        <v>0</v>
      </c>
      <c r="E629" s="93"/>
      <c r="F629" s="93"/>
      <c r="G629" s="93"/>
      <c r="H629" s="93"/>
      <c r="I629" s="93"/>
      <c r="J629" s="93"/>
    </row>
    <row r="630" spans="1:10" ht="16.5" customHeight="1">
      <c r="A630" s="93"/>
      <c r="B630" s="93" t="s">
        <v>2087</v>
      </c>
      <c r="C630" s="93">
        <v>6</v>
      </c>
      <c r="D630" s="93" t="b">
        <f t="shared" si="6"/>
        <v>0</v>
      </c>
      <c r="E630" s="93"/>
      <c r="F630" s="93"/>
      <c r="G630" s="93"/>
      <c r="H630" s="93"/>
      <c r="I630" s="93"/>
      <c r="J630" s="93"/>
    </row>
    <row r="631" spans="1:10" ht="16.5" customHeight="1">
      <c r="A631" s="93"/>
      <c r="B631" s="93" t="s">
        <v>2087</v>
      </c>
      <c r="C631" s="93">
        <v>7</v>
      </c>
      <c r="D631" s="93" t="b">
        <f t="shared" si="6"/>
        <v>0</v>
      </c>
      <c r="E631" s="93"/>
      <c r="F631" s="93"/>
      <c r="G631" s="93"/>
      <c r="H631" s="93"/>
      <c r="I631" s="93"/>
      <c r="J631" s="93"/>
    </row>
    <row r="632" spans="1:10" ht="16.5" customHeight="1">
      <c r="A632" s="93"/>
      <c r="B632" s="93" t="s">
        <v>3628</v>
      </c>
      <c r="C632" s="94" t="b">
        <v>1</v>
      </c>
      <c r="D632" s="93" t="b">
        <f t="shared" si="6"/>
        <v>1</v>
      </c>
      <c r="E632" s="93"/>
      <c r="F632" s="93"/>
      <c r="G632" s="93"/>
      <c r="H632" s="93"/>
      <c r="I632" s="93"/>
      <c r="J632" s="93"/>
    </row>
    <row r="633" spans="1:10" ht="16.5" customHeight="1">
      <c r="A633" s="93"/>
      <c r="B633" s="93" t="s">
        <v>3628</v>
      </c>
      <c r="C633" s="94" t="b">
        <v>0</v>
      </c>
      <c r="D633" s="93" t="b">
        <f t="shared" si="6"/>
        <v>1</v>
      </c>
      <c r="E633" s="93"/>
      <c r="F633" s="93"/>
      <c r="G633" s="93"/>
      <c r="H633" s="93"/>
      <c r="I633" s="93"/>
      <c r="J633" s="93"/>
    </row>
    <row r="634" spans="1:10">
      <c r="A634" s="93"/>
      <c r="B634" s="93"/>
      <c r="C634" s="93"/>
      <c r="D634" s="93"/>
      <c r="E634" s="93"/>
      <c r="F634" s="93"/>
      <c r="G634" s="93"/>
      <c r="H634" s="93"/>
      <c r="I634" s="93"/>
      <c r="J634" s="93"/>
    </row>
    <row r="635" spans="1:10">
      <c r="A635" s="93"/>
      <c r="B635" s="93"/>
      <c r="C635" s="93"/>
      <c r="D635" s="93"/>
      <c r="E635" s="93"/>
      <c r="F635" s="93"/>
      <c r="G635" s="93"/>
      <c r="H635" s="93"/>
      <c r="I635" s="93"/>
      <c r="J635" s="93"/>
    </row>
    <row r="636" spans="1:10">
      <c r="A636" s="93"/>
      <c r="B636" s="93"/>
      <c r="C636" s="93"/>
      <c r="D636" s="93"/>
      <c r="E636" s="93"/>
      <c r="F636" s="93"/>
      <c r="G636" s="93"/>
      <c r="H636" s="93"/>
      <c r="I636" s="93"/>
      <c r="J636" s="93"/>
    </row>
    <row r="700" spans="1:13" s="88" customFormat="1" ht="26.25" customHeight="1">
      <c r="A700" s="498" t="s">
        <v>992</v>
      </c>
      <c r="B700" s="498"/>
      <c r="C700" s="499"/>
      <c r="D700" s="87"/>
      <c r="E700" s="500" t="str">
        <f>HYPERLINK("#目录!A478","跳转回到目录页")</f>
        <v>跳转回到目录页</v>
      </c>
      <c r="F700" s="501"/>
    </row>
    <row r="701" spans="1:13" s="88" customFormat="1" ht="26.25" customHeight="1">
      <c r="A701" s="502" t="s">
        <v>1216</v>
      </c>
      <c r="B701" s="502"/>
      <c r="C701" s="503" t="s">
        <v>677</v>
      </c>
      <c r="D701" s="503"/>
      <c r="E701" s="503"/>
      <c r="F701" s="503"/>
      <c r="G701" s="503"/>
      <c r="H701" s="503"/>
      <c r="I701" s="503"/>
      <c r="J701" s="503"/>
      <c r="K701" s="503"/>
      <c r="L701" s="503"/>
      <c r="M701" s="503"/>
    </row>
    <row r="702" spans="1:13" s="88" customFormat="1" ht="16.5" customHeight="1">
      <c r="A702" s="496" t="s">
        <v>1217</v>
      </c>
      <c r="B702" s="496"/>
      <c r="C702" s="493" t="s">
        <v>677</v>
      </c>
      <c r="D702" s="493"/>
      <c r="E702" s="493"/>
      <c r="F702" s="493"/>
      <c r="G702" s="493"/>
      <c r="H702" s="493"/>
      <c r="I702" s="493"/>
      <c r="J702" s="493"/>
      <c r="K702" s="493"/>
      <c r="L702" s="493"/>
      <c r="M702" s="493"/>
    </row>
    <row r="703" spans="1:13" s="88" customFormat="1" ht="16.5" customHeight="1">
      <c r="A703" s="496" t="s">
        <v>5786</v>
      </c>
      <c r="B703" s="496"/>
      <c r="C703" s="497" t="s">
        <v>677</v>
      </c>
      <c r="D703" s="497"/>
      <c r="E703" s="497"/>
      <c r="F703" s="497"/>
      <c r="G703" s="497"/>
      <c r="H703" s="497"/>
      <c r="I703" s="497"/>
      <c r="J703" s="497"/>
      <c r="K703" s="497"/>
      <c r="L703" s="497"/>
      <c r="M703" s="497"/>
    </row>
    <row r="704" spans="1:13" s="88" customFormat="1" ht="16.5" customHeight="1">
      <c r="A704" s="496" t="s">
        <v>1220</v>
      </c>
      <c r="B704" s="496"/>
      <c r="C704" s="493" t="s">
        <v>5436</v>
      </c>
      <c r="D704" s="493"/>
      <c r="E704" s="493"/>
      <c r="F704" s="493"/>
      <c r="G704" s="493"/>
      <c r="H704" s="493"/>
      <c r="I704" s="493"/>
      <c r="J704" s="493"/>
      <c r="K704" s="493"/>
      <c r="L704" s="493"/>
      <c r="M704" s="493"/>
    </row>
    <row r="705" spans="1:13" s="88" customFormat="1" ht="16.5" customHeight="1">
      <c r="A705" s="496" t="s">
        <v>5785</v>
      </c>
      <c r="B705" s="496"/>
      <c r="C705" s="493" t="s">
        <v>5437</v>
      </c>
      <c r="D705" s="493"/>
      <c r="E705" s="493"/>
      <c r="F705" s="493"/>
      <c r="G705" s="493"/>
      <c r="H705" s="493"/>
      <c r="I705" s="493"/>
      <c r="J705" s="493"/>
      <c r="K705" s="493"/>
      <c r="L705" s="493"/>
      <c r="M705" s="493"/>
    </row>
    <row r="706" spans="1:13" s="88" customFormat="1" ht="16.5" customHeight="1">
      <c r="A706" s="89" t="s">
        <v>1223</v>
      </c>
      <c r="B706" s="92" t="s">
        <v>3299</v>
      </c>
      <c r="C706" s="493" t="s">
        <v>5403</v>
      </c>
      <c r="D706" s="493"/>
      <c r="E706" s="493"/>
      <c r="F706" s="493"/>
      <c r="G706" s="493"/>
      <c r="H706" s="493"/>
      <c r="I706" s="493"/>
      <c r="J706" s="493"/>
      <c r="K706" s="493"/>
      <c r="L706" s="493"/>
      <c r="M706" s="493"/>
    </row>
    <row r="707" spans="1:13" s="88" customFormat="1" ht="16.5" customHeight="1">
      <c r="A707" s="89"/>
      <c r="B707" s="92"/>
      <c r="C707" s="493"/>
      <c r="D707" s="493"/>
      <c r="E707" s="493"/>
      <c r="F707" s="493"/>
      <c r="G707" s="493"/>
      <c r="H707" s="493"/>
      <c r="I707" s="493"/>
      <c r="J707" s="493"/>
      <c r="K707" s="493"/>
      <c r="L707" s="493"/>
      <c r="M707" s="493"/>
    </row>
    <row r="708" spans="1:13" s="88" customFormat="1" ht="16.5" customHeight="1">
      <c r="A708" s="89"/>
      <c r="B708" s="90"/>
      <c r="C708" s="493"/>
      <c r="D708" s="493"/>
      <c r="E708" s="493"/>
      <c r="F708" s="493"/>
      <c r="G708" s="493"/>
      <c r="H708" s="493"/>
      <c r="I708" s="493"/>
      <c r="J708" s="493"/>
      <c r="K708" s="493"/>
      <c r="L708" s="493"/>
      <c r="M708" s="493"/>
    </row>
    <row r="709" spans="1:13" s="88" customFormat="1" ht="16.5" customHeight="1">
      <c r="A709" s="89" t="s">
        <v>1228</v>
      </c>
      <c r="B709" s="493"/>
      <c r="C709" s="493"/>
      <c r="D709" s="493"/>
      <c r="E709" s="493"/>
      <c r="F709" s="493"/>
      <c r="G709" s="493"/>
      <c r="H709" s="493"/>
      <c r="I709" s="493"/>
      <c r="J709" s="493"/>
      <c r="K709" s="493"/>
      <c r="L709" s="493"/>
      <c r="M709" s="493"/>
    </row>
    <row r="710" spans="1:13" ht="24.75" customHeight="1">
      <c r="A710" s="89" t="s">
        <v>1229</v>
      </c>
      <c r="B710" s="673" t="s">
        <v>5404</v>
      </c>
      <c r="C710" s="673"/>
      <c r="D710" s="673"/>
      <c r="E710" s="673"/>
      <c r="F710" s="673"/>
      <c r="G710" s="673"/>
      <c r="H710" s="673"/>
      <c r="I710" s="673"/>
      <c r="J710" s="673"/>
      <c r="K710" s="673"/>
      <c r="L710" s="673"/>
      <c r="M710" s="673"/>
    </row>
    <row r="711" spans="1:13" ht="21" customHeight="1">
      <c r="B711" s="494" t="s">
        <v>2863</v>
      </c>
      <c r="C711" s="494"/>
      <c r="D711" s="494"/>
      <c r="E711" s="494"/>
      <c r="F711" s="494"/>
      <c r="G711" s="494"/>
      <c r="H711" s="494"/>
      <c r="I711" s="494"/>
      <c r="J711" s="494"/>
      <c r="K711" s="494"/>
      <c r="L711" s="495"/>
    </row>
    <row r="712" spans="1:13" s="93" customFormat="1" ht="16.5" customHeight="1"/>
    <row r="713" spans="1:13" s="93" customFormat="1" ht="16.5" customHeight="1">
      <c r="A713" s="94" t="s">
        <v>1232</v>
      </c>
      <c r="B713" s="93" t="s">
        <v>1773</v>
      </c>
    </row>
    <row r="714" spans="1:13" ht="16.5" customHeight="1"/>
    <row r="715" spans="1:13" ht="16.5" customHeight="1"/>
    <row r="716" spans="1:13" ht="16.5" customHeight="1">
      <c r="B716" s="93"/>
      <c r="C716" s="93"/>
      <c r="D716" s="93"/>
      <c r="E716" s="104" t="s">
        <v>1238</v>
      </c>
      <c r="F716" s="93"/>
      <c r="G716" s="93"/>
      <c r="H716" s="93"/>
      <c r="I716" s="93"/>
    </row>
    <row r="717" spans="1:13" ht="16.5" customHeight="1">
      <c r="B717" s="93" t="s">
        <v>3630</v>
      </c>
      <c r="C717" s="93"/>
      <c r="D717" s="93" t="b">
        <f>ISTEXT(C717)</f>
        <v>0</v>
      </c>
      <c r="E717" s="108" t="s">
        <v>5438</v>
      </c>
      <c r="F717" s="93"/>
      <c r="G717" s="93"/>
      <c r="H717" s="93" t="b">
        <v>1</v>
      </c>
      <c r="I717" s="93" t="b">
        <v>0</v>
      </c>
    </row>
    <row r="718" spans="1:13" ht="16.5" customHeight="1">
      <c r="B718" s="147" t="s">
        <v>5407</v>
      </c>
      <c r="C718" s="93" t="str">
        <f>""</f>
        <v/>
      </c>
      <c r="D718" s="93" t="b">
        <f t="shared" ref="D718:D733" si="7">ISTEXT(C718)</f>
        <v>1</v>
      </c>
      <c r="E718" s="93"/>
      <c r="F718" s="93"/>
      <c r="G718" s="93"/>
      <c r="H718" s="94" t="s">
        <v>5408</v>
      </c>
      <c r="I718" s="94" t="s">
        <v>5409</v>
      </c>
    </row>
    <row r="719" spans="1:13" ht="16.5" customHeight="1">
      <c r="B719" s="93" t="s">
        <v>5410</v>
      </c>
      <c r="C719" s="93" t="s">
        <v>5411</v>
      </c>
      <c r="D719" s="93" t="b">
        <f t="shared" si="7"/>
        <v>1</v>
      </c>
      <c r="E719" s="93"/>
      <c r="F719" s="93"/>
      <c r="G719" s="93"/>
      <c r="H719" s="93"/>
      <c r="I719" s="93"/>
    </row>
    <row r="720" spans="1:13" ht="16.5" customHeight="1">
      <c r="B720" s="93" t="s">
        <v>3088</v>
      </c>
      <c r="C720" s="93" t="s">
        <v>1904</v>
      </c>
      <c r="D720" s="93" t="b">
        <f t="shared" si="7"/>
        <v>1</v>
      </c>
      <c r="E720" s="93"/>
      <c r="F720" s="93"/>
      <c r="G720" s="93"/>
      <c r="H720" s="93"/>
      <c r="I720" s="93"/>
    </row>
    <row r="721" spans="2:9" ht="16.5" customHeight="1">
      <c r="B721" s="93" t="s">
        <v>1371</v>
      </c>
      <c r="C721" s="148">
        <v>40834</v>
      </c>
      <c r="D721" s="93" t="b">
        <f t="shared" si="7"/>
        <v>0</v>
      </c>
      <c r="E721" s="93"/>
      <c r="F721" s="93"/>
      <c r="G721" s="93"/>
      <c r="H721" s="93"/>
      <c r="I721" s="93"/>
    </row>
    <row r="722" spans="2:9" ht="16.5" customHeight="1">
      <c r="B722" s="116" t="s">
        <v>5412</v>
      </c>
      <c r="C722" s="93" t="e">
        <f>1/0</f>
        <v>#DIV/0!</v>
      </c>
      <c r="D722" s="93" t="b">
        <f t="shared" si="7"/>
        <v>0</v>
      </c>
      <c r="E722" s="93"/>
      <c r="F722" s="93"/>
      <c r="G722" s="93"/>
      <c r="H722" s="93"/>
      <c r="I722" s="93"/>
    </row>
    <row r="723" spans="2:9" ht="16.5" customHeight="1">
      <c r="B723" s="93" t="s">
        <v>3632</v>
      </c>
      <c r="C723" s="93" t="e">
        <v>#VALUE!</v>
      </c>
      <c r="D723" s="93" t="b">
        <f t="shared" si="7"/>
        <v>0</v>
      </c>
      <c r="E723" s="93"/>
      <c r="F723" s="93"/>
      <c r="G723" s="93"/>
      <c r="H723" s="93"/>
      <c r="I723" s="93"/>
    </row>
    <row r="724" spans="2:9" ht="16.5" customHeight="1">
      <c r="B724" s="93" t="s">
        <v>3632</v>
      </c>
      <c r="C724" s="93" t="e">
        <v>#N/A</v>
      </c>
      <c r="D724" s="93" t="b">
        <f t="shared" si="7"/>
        <v>0</v>
      </c>
      <c r="E724" s="93"/>
      <c r="F724" s="93"/>
      <c r="G724" s="93"/>
      <c r="H724" s="93"/>
      <c r="I724" s="93"/>
    </row>
    <row r="725" spans="2:9" ht="16.5" customHeight="1">
      <c r="B725" s="93" t="s">
        <v>3632</v>
      </c>
      <c r="C725" s="93" t="e">
        <v>#REF!</v>
      </c>
      <c r="D725" s="93" t="b">
        <f t="shared" si="7"/>
        <v>0</v>
      </c>
      <c r="E725" s="93"/>
      <c r="F725" s="93"/>
      <c r="G725" s="93"/>
      <c r="H725" s="93"/>
      <c r="I725" s="93"/>
    </row>
    <row r="726" spans="2:9" ht="16.5" customHeight="1">
      <c r="B726" s="93" t="s">
        <v>3632</v>
      </c>
      <c r="C726" s="93" t="e">
        <v>#DIV/0!</v>
      </c>
      <c r="D726" s="93" t="b">
        <f t="shared" si="7"/>
        <v>0</v>
      </c>
      <c r="E726" s="93"/>
      <c r="F726" s="93"/>
      <c r="G726" s="93"/>
      <c r="H726" s="93"/>
      <c r="I726" s="93"/>
    </row>
    <row r="727" spans="2:9" ht="16.5" customHeight="1">
      <c r="B727" s="93" t="s">
        <v>3632</v>
      </c>
      <c r="C727" s="93" t="e">
        <v>#NUM!</v>
      </c>
      <c r="D727" s="93" t="b">
        <f t="shared" si="7"/>
        <v>0</v>
      </c>
      <c r="E727" s="93"/>
      <c r="F727" s="93"/>
      <c r="G727" s="93"/>
      <c r="H727" s="93"/>
      <c r="I727" s="93"/>
    </row>
    <row r="728" spans="2:9" ht="16.5" customHeight="1">
      <c r="B728" s="93" t="s">
        <v>3632</v>
      </c>
      <c r="C728" s="93" t="e">
        <v>#NAME?</v>
      </c>
      <c r="D728" s="93" t="b">
        <f t="shared" si="7"/>
        <v>0</v>
      </c>
      <c r="E728" s="93"/>
      <c r="F728" s="93"/>
      <c r="G728" s="93"/>
      <c r="H728" s="93"/>
      <c r="I728" s="93"/>
    </row>
    <row r="729" spans="2:9" ht="16.5" customHeight="1">
      <c r="B729" s="93" t="s">
        <v>3632</v>
      </c>
      <c r="C729" s="93" t="e">
        <v>#NULL!</v>
      </c>
      <c r="D729" s="93" t="b">
        <f t="shared" si="7"/>
        <v>0</v>
      </c>
      <c r="E729" s="93"/>
      <c r="F729" s="93"/>
      <c r="G729" s="93"/>
      <c r="H729" s="93"/>
      <c r="I729" s="93"/>
    </row>
    <row r="730" spans="2:9" ht="16.5" customHeight="1">
      <c r="B730" s="93" t="s">
        <v>2087</v>
      </c>
      <c r="C730" s="93">
        <v>6</v>
      </c>
      <c r="D730" s="93" t="b">
        <f t="shared" si="7"/>
        <v>0</v>
      </c>
      <c r="E730" s="93"/>
      <c r="F730" s="93"/>
      <c r="G730" s="93"/>
      <c r="H730" s="93"/>
      <c r="I730" s="93"/>
    </row>
    <row r="731" spans="2:9" ht="16.5" customHeight="1">
      <c r="B731" s="93" t="s">
        <v>2087</v>
      </c>
      <c r="C731" s="93">
        <v>7</v>
      </c>
      <c r="D731" s="93" t="b">
        <f t="shared" si="7"/>
        <v>0</v>
      </c>
      <c r="E731" s="93"/>
      <c r="F731" s="93"/>
      <c r="G731" s="93"/>
      <c r="H731" s="93"/>
      <c r="I731" s="93"/>
    </row>
    <row r="732" spans="2:9" ht="16.5" customHeight="1">
      <c r="B732" s="93" t="s">
        <v>3628</v>
      </c>
      <c r="C732" s="94" t="b">
        <v>1</v>
      </c>
      <c r="D732" s="93" t="b">
        <f t="shared" si="7"/>
        <v>0</v>
      </c>
      <c r="E732" s="93"/>
      <c r="F732" s="93"/>
      <c r="G732" s="93"/>
      <c r="H732" s="93"/>
      <c r="I732" s="93"/>
    </row>
    <row r="733" spans="2:9" ht="16.5" customHeight="1">
      <c r="B733" s="93" t="s">
        <v>3628</v>
      </c>
      <c r="C733" s="94" t="b">
        <v>0</v>
      </c>
      <c r="D733" s="93" t="b">
        <f t="shared" si="7"/>
        <v>0</v>
      </c>
      <c r="E733" s="93"/>
      <c r="F733" s="93"/>
      <c r="G733" s="93"/>
      <c r="H733" s="93"/>
      <c r="I733" s="93"/>
    </row>
    <row r="800" spans="1:6" s="88" customFormat="1" ht="26.25" customHeight="1">
      <c r="A800" s="498" t="s">
        <v>982</v>
      </c>
      <c r="B800" s="498"/>
      <c r="C800" s="499"/>
      <c r="D800" s="87"/>
      <c r="E800" s="500" t="str">
        <f>HYPERLINK("#目录!A479","跳转回到目录页")</f>
        <v>跳转回到目录页</v>
      </c>
      <c r="F800" s="501"/>
    </row>
    <row r="801" spans="1:13" s="88" customFormat="1" ht="26.25" customHeight="1">
      <c r="A801" s="502" t="s">
        <v>1216</v>
      </c>
      <c r="B801" s="502"/>
      <c r="C801" s="503" t="s">
        <v>678</v>
      </c>
      <c r="D801" s="503"/>
      <c r="E801" s="503"/>
      <c r="F801" s="503"/>
      <c r="G801" s="503"/>
      <c r="H801" s="503"/>
      <c r="I801" s="503"/>
      <c r="J801" s="503"/>
      <c r="K801" s="503"/>
      <c r="L801" s="503"/>
      <c r="M801" s="503"/>
    </row>
    <row r="802" spans="1:13" s="88" customFormat="1" ht="16.5" customHeight="1">
      <c r="A802" s="496" t="s">
        <v>1217</v>
      </c>
      <c r="B802" s="496"/>
      <c r="C802" s="493" t="s">
        <v>5439</v>
      </c>
      <c r="D802" s="493"/>
      <c r="E802" s="493"/>
      <c r="F802" s="493"/>
      <c r="G802" s="493"/>
      <c r="H802" s="493"/>
      <c r="I802" s="493"/>
      <c r="J802" s="493"/>
      <c r="K802" s="493"/>
      <c r="L802" s="493"/>
      <c r="M802" s="493"/>
    </row>
    <row r="803" spans="1:13" s="88" customFormat="1" ht="16.5" customHeight="1">
      <c r="A803" s="496" t="s">
        <v>5786</v>
      </c>
      <c r="B803" s="496"/>
      <c r="C803" s="497" t="s">
        <v>678</v>
      </c>
      <c r="D803" s="497"/>
      <c r="E803" s="497"/>
      <c r="F803" s="497"/>
      <c r="G803" s="497"/>
      <c r="H803" s="497"/>
      <c r="I803" s="497"/>
      <c r="J803" s="497"/>
      <c r="K803" s="497"/>
      <c r="L803" s="497"/>
      <c r="M803" s="497"/>
    </row>
    <row r="804" spans="1:13" s="88" customFormat="1" ht="16.5" customHeight="1">
      <c r="A804" s="496" t="s">
        <v>1220</v>
      </c>
      <c r="B804" s="496"/>
      <c r="C804" s="493" t="s">
        <v>5440</v>
      </c>
      <c r="D804" s="493"/>
      <c r="E804" s="493"/>
      <c r="F804" s="493"/>
      <c r="G804" s="493"/>
      <c r="H804" s="493"/>
      <c r="I804" s="493"/>
      <c r="J804" s="493"/>
      <c r="K804" s="493"/>
      <c r="L804" s="493"/>
      <c r="M804" s="493"/>
    </row>
    <row r="805" spans="1:13" s="88" customFormat="1" ht="16.5" customHeight="1">
      <c r="A805" s="496" t="s">
        <v>5785</v>
      </c>
      <c r="B805" s="496"/>
      <c r="C805" s="493" t="s">
        <v>5441</v>
      </c>
      <c r="D805" s="493"/>
      <c r="E805" s="493"/>
      <c r="F805" s="493"/>
      <c r="G805" s="493"/>
      <c r="H805" s="493"/>
      <c r="I805" s="493"/>
      <c r="J805" s="493"/>
      <c r="K805" s="493"/>
      <c r="L805" s="493"/>
      <c r="M805" s="493"/>
    </row>
    <row r="806" spans="1:13" s="88" customFormat="1" ht="16.5" customHeight="1">
      <c r="A806" s="89" t="s">
        <v>1223</v>
      </c>
      <c r="B806" s="92" t="s">
        <v>3299</v>
      </c>
      <c r="C806" s="493" t="s">
        <v>5403</v>
      </c>
      <c r="D806" s="493"/>
      <c r="E806" s="493"/>
      <c r="F806" s="493"/>
      <c r="G806" s="493"/>
      <c r="H806" s="493"/>
      <c r="I806" s="493"/>
      <c r="J806" s="493"/>
      <c r="K806" s="493"/>
      <c r="L806" s="493"/>
      <c r="M806" s="493"/>
    </row>
    <row r="807" spans="1:13" s="88" customFormat="1" ht="16.5" customHeight="1">
      <c r="A807" s="89"/>
      <c r="B807" s="92"/>
      <c r="C807" s="493"/>
      <c r="D807" s="493"/>
      <c r="E807" s="493"/>
      <c r="F807" s="493"/>
      <c r="G807" s="493"/>
      <c r="H807" s="493"/>
      <c r="I807" s="493"/>
      <c r="J807" s="493"/>
      <c r="K807" s="493"/>
      <c r="L807" s="493"/>
      <c r="M807" s="493"/>
    </row>
    <row r="808" spans="1:13" s="88" customFormat="1" ht="16.5" customHeight="1">
      <c r="A808" s="89"/>
      <c r="B808" s="90"/>
      <c r="C808" s="493"/>
      <c r="D808" s="493"/>
      <c r="E808" s="493"/>
      <c r="F808" s="493"/>
      <c r="G808" s="493"/>
      <c r="H808" s="493"/>
      <c r="I808" s="493"/>
      <c r="J808" s="493"/>
      <c r="K808" s="493"/>
      <c r="L808" s="493"/>
      <c r="M808" s="493"/>
    </row>
    <row r="809" spans="1:13" s="88" customFormat="1" ht="16.5" customHeight="1">
      <c r="A809" s="89" t="s">
        <v>1228</v>
      </c>
      <c r="B809" s="493"/>
      <c r="C809" s="493"/>
      <c r="D809" s="493"/>
      <c r="E809" s="493"/>
      <c r="F809" s="493"/>
      <c r="G809" s="493"/>
      <c r="H809" s="493"/>
      <c r="I809" s="493"/>
      <c r="J809" s="493"/>
      <c r="K809" s="493"/>
      <c r="L809" s="493"/>
      <c r="M809" s="493"/>
    </row>
    <row r="810" spans="1:13" ht="24.75" customHeight="1">
      <c r="A810" s="89" t="s">
        <v>1229</v>
      </c>
      <c r="B810" s="673" t="s">
        <v>5404</v>
      </c>
      <c r="C810" s="673"/>
      <c r="D810" s="673"/>
      <c r="E810" s="673"/>
      <c r="F810" s="673"/>
      <c r="G810" s="673"/>
      <c r="H810" s="673"/>
      <c r="I810" s="673"/>
      <c r="J810" s="673"/>
      <c r="K810" s="673"/>
      <c r="L810" s="673"/>
      <c r="M810" s="673"/>
    </row>
    <row r="811" spans="1:13" ht="21" customHeight="1">
      <c r="B811" s="494" t="s">
        <v>2863</v>
      </c>
      <c r="C811" s="494"/>
      <c r="D811" s="494"/>
      <c r="E811" s="494"/>
      <c r="F811" s="494"/>
      <c r="G811" s="494"/>
      <c r="H811" s="494"/>
      <c r="I811" s="494"/>
      <c r="J811" s="494"/>
      <c r="K811" s="494"/>
      <c r="L811" s="495"/>
    </row>
    <row r="812" spans="1:13" s="93" customFormat="1" ht="16.5" customHeight="1"/>
    <row r="813" spans="1:13" s="93" customFormat="1" ht="16.5" customHeight="1">
      <c r="A813" s="94" t="s">
        <v>1232</v>
      </c>
      <c r="B813" s="93" t="s">
        <v>1773</v>
      </c>
    </row>
    <row r="814" spans="1:13" ht="16.5" customHeight="1"/>
    <row r="815" spans="1:13" ht="16.5" customHeight="1"/>
    <row r="816" spans="1:13" ht="16.5" customHeight="1">
      <c r="B816" s="93"/>
      <c r="C816" s="93"/>
      <c r="D816" s="93"/>
      <c r="E816" s="104" t="s">
        <v>1238</v>
      </c>
      <c r="F816" s="93"/>
      <c r="G816" s="93"/>
      <c r="H816" s="93"/>
      <c r="I816" s="93"/>
    </row>
    <row r="817" spans="2:9" ht="16.5" customHeight="1">
      <c r="B817" s="93" t="s">
        <v>3630</v>
      </c>
      <c r="C817" s="93"/>
      <c r="D817" s="93" t="b">
        <f>ISNONTEXT(C817)</f>
        <v>1</v>
      </c>
      <c r="E817" s="108" t="s">
        <v>5442</v>
      </c>
      <c r="F817" s="93"/>
      <c r="G817" s="93"/>
      <c r="H817" s="93" t="b">
        <v>1</v>
      </c>
      <c r="I817" s="93" t="b">
        <v>0</v>
      </c>
    </row>
    <row r="818" spans="2:9" ht="16.5" customHeight="1">
      <c r="B818" s="147" t="s">
        <v>5407</v>
      </c>
      <c r="C818" s="93" t="str">
        <f>""</f>
        <v/>
      </c>
      <c r="D818" s="93" t="b">
        <f t="shared" ref="D818:D833" si="8">ISNONTEXT(C818)</f>
        <v>0</v>
      </c>
      <c r="E818" s="93"/>
      <c r="F818" s="93"/>
      <c r="G818" s="93"/>
      <c r="H818" s="94" t="s">
        <v>5408</v>
      </c>
      <c r="I818" s="94" t="s">
        <v>5409</v>
      </c>
    </row>
    <row r="819" spans="2:9" ht="16.5" customHeight="1">
      <c r="B819" s="93" t="s">
        <v>5410</v>
      </c>
      <c r="C819" s="93" t="s">
        <v>5411</v>
      </c>
      <c r="D819" s="93" t="b">
        <f t="shared" si="8"/>
        <v>0</v>
      </c>
      <c r="E819" s="93"/>
      <c r="F819" s="93"/>
      <c r="G819" s="93"/>
      <c r="H819" s="93"/>
      <c r="I819" s="93"/>
    </row>
    <row r="820" spans="2:9" ht="16.5" customHeight="1">
      <c r="B820" s="93" t="s">
        <v>3088</v>
      </c>
      <c r="C820" s="93" t="s">
        <v>1904</v>
      </c>
      <c r="D820" s="93" t="b">
        <f t="shared" si="8"/>
        <v>0</v>
      </c>
      <c r="E820" s="93"/>
      <c r="F820" s="93"/>
      <c r="G820" s="93"/>
      <c r="H820" s="93"/>
      <c r="I820" s="93"/>
    </row>
    <row r="821" spans="2:9" ht="16.5" customHeight="1">
      <c r="B821" s="93" t="s">
        <v>1371</v>
      </c>
      <c r="C821" s="148">
        <v>40834</v>
      </c>
      <c r="D821" s="93" t="b">
        <f t="shared" si="8"/>
        <v>1</v>
      </c>
      <c r="E821" s="93"/>
      <c r="F821" s="93"/>
      <c r="G821" s="93"/>
      <c r="H821" s="93"/>
      <c r="I821" s="93"/>
    </row>
    <row r="822" spans="2:9" ht="16.5" customHeight="1">
      <c r="B822" s="116" t="s">
        <v>5412</v>
      </c>
      <c r="C822" s="93" t="e">
        <f>1/0</f>
        <v>#DIV/0!</v>
      </c>
      <c r="D822" s="93" t="b">
        <f t="shared" si="8"/>
        <v>1</v>
      </c>
      <c r="E822" s="93"/>
      <c r="F822" s="93"/>
      <c r="G822" s="93"/>
      <c r="H822" s="93"/>
      <c r="I822" s="93"/>
    </row>
    <row r="823" spans="2:9" ht="16.5" customHeight="1">
      <c r="B823" s="93" t="s">
        <v>3632</v>
      </c>
      <c r="C823" s="93" t="e">
        <v>#VALUE!</v>
      </c>
      <c r="D823" s="93" t="b">
        <f t="shared" si="8"/>
        <v>1</v>
      </c>
      <c r="E823" s="93"/>
      <c r="F823" s="93"/>
      <c r="G823" s="93"/>
      <c r="H823" s="93"/>
      <c r="I823" s="93"/>
    </row>
    <row r="824" spans="2:9" ht="16.5" customHeight="1">
      <c r="B824" s="93" t="s">
        <v>3632</v>
      </c>
      <c r="C824" s="93" t="e">
        <v>#N/A</v>
      </c>
      <c r="D824" s="93" t="b">
        <f t="shared" si="8"/>
        <v>1</v>
      </c>
      <c r="E824" s="93"/>
      <c r="F824" s="93"/>
      <c r="G824" s="93"/>
      <c r="H824" s="93"/>
      <c r="I824" s="93"/>
    </row>
    <row r="825" spans="2:9" ht="16.5" customHeight="1">
      <c r="B825" s="93" t="s">
        <v>3632</v>
      </c>
      <c r="C825" s="93" t="e">
        <v>#REF!</v>
      </c>
      <c r="D825" s="93" t="b">
        <f t="shared" si="8"/>
        <v>1</v>
      </c>
      <c r="E825" s="93"/>
      <c r="F825" s="93"/>
      <c r="G825" s="93"/>
      <c r="H825" s="93"/>
      <c r="I825" s="93"/>
    </row>
    <row r="826" spans="2:9" ht="16.5" customHeight="1">
      <c r="B826" s="93" t="s">
        <v>3632</v>
      </c>
      <c r="C826" s="93" t="e">
        <v>#DIV/0!</v>
      </c>
      <c r="D826" s="93" t="b">
        <f t="shared" si="8"/>
        <v>1</v>
      </c>
      <c r="E826" s="93"/>
      <c r="F826" s="93"/>
      <c r="G826" s="93"/>
      <c r="H826" s="93"/>
      <c r="I826" s="93"/>
    </row>
    <row r="827" spans="2:9" ht="16.5" customHeight="1">
      <c r="B827" s="93" t="s">
        <v>3632</v>
      </c>
      <c r="C827" s="93" t="e">
        <v>#NUM!</v>
      </c>
      <c r="D827" s="93" t="b">
        <f t="shared" si="8"/>
        <v>1</v>
      </c>
      <c r="E827" s="93"/>
      <c r="F827" s="93"/>
      <c r="G827" s="93"/>
      <c r="H827" s="93"/>
      <c r="I827" s="93"/>
    </row>
    <row r="828" spans="2:9" ht="16.5" customHeight="1">
      <c r="B828" s="93" t="s">
        <v>3632</v>
      </c>
      <c r="C828" s="93" t="e">
        <v>#NAME?</v>
      </c>
      <c r="D828" s="93" t="b">
        <f t="shared" si="8"/>
        <v>1</v>
      </c>
      <c r="E828" s="93"/>
      <c r="F828" s="93"/>
      <c r="G828" s="93"/>
      <c r="H828" s="93"/>
      <c r="I828" s="93"/>
    </row>
    <row r="829" spans="2:9" ht="16.5" customHeight="1">
      <c r="B829" s="93" t="s">
        <v>3632</v>
      </c>
      <c r="C829" s="93" t="e">
        <v>#NULL!</v>
      </c>
      <c r="D829" s="93" t="b">
        <f t="shared" si="8"/>
        <v>1</v>
      </c>
      <c r="E829" s="93"/>
      <c r="F829" s="93"/>
      <c r="G829" s="93"/>
      <c r="H829" s="93"/>
      <c r="I829" s="93"/>
    </row>
    <row r="830" spans="2:9" ht="16.5" customHeight="1">
      <c r="B830" s="93" t="s">
        <v>2087</v>
      </c>
      <c r="C830" s="93">
        <v>6</v>
      </c>
      <c r="D830" s="93" t="b">
        <f t="shared" si="8"/>
        <v>1</v>
      </c>
      <c r="E830" s="93"/>
      <c r="F830" s="93"/>
      <c r="G830" s="93"/>
      <c r="H830" s="93"/>
      <c r="I830" s="93"/>
    </row>
    <row r="831" spans="2:9" ht="16.5" customHeight="1">
      <c r="B831" s="93" t="s">
        <v>2087</v>
      </c>
      <c r="C831" s="93">
        <v>7</v>
      </c>
      <c r="D831" s="93" t="b">
        <f t="shared" si="8"/>
        <v>1</v>
      </c>
      <c r="E831" s="93"/>
      <c r="F831" s="93"/>
      <c r="G831" s="93"/>
      <c r="H831" s="93"/>
      <c r="I831" s="93"/>
    </row>
    <row r="832" spans="2:9" ht="16.5" customHeight="1">
      <c r="B832" s="93" t="s">
        <v>3628</v>
      </c>
      <c r="C832" s="94" t="b">
        <v>1</v>
      </c>
      <c r="D832" s="93" t="b">
        <f t="shared" si="8"/>
        <v>1</v>
      </c>
      <c r="E832" s="93"/>
      <c r="F832" s="93"/>
      <c r="G832" s="93"/>
      <c r="H832" s="93"/>
      <c r="I832" s="93"/>
    </row>
    <row r="833" spans="2:9" ht="16.5" customHeight="1">
      <c r="B833" s="93" t="s">
        <v>3628</v>
      </c>
      <c r="C833" s="94" t="b">
        <v>0</v>
      </c>
      <c r="D833" s="93" t="b">
        <f t="shared" si="8"/>
        <v>1</v>
      </c>
      <c r="E833" s="93"/>
      <c r="F833" s="93"/>
      <c r="G833" s="93"/>
      <c r="H833" s="93"/>
      <c r="I833" s="93"/>
    </row>
    <row r="834" spans="2:9" ht="16.5" customHeight="1"/>
    <row r="900" spans="1:13" s="88" customFormat="1" ht="26.25" customHeight="1">
      <c r="A900" s="498" t="s">
        <v>984</v>
      </c>
      <c r="B900" s="498"/>
      <c r="C900" s="499"/>
      <c r="D900" s="87"/>
      <c r="E900" s="500" t="str">
        <f>HYPERLINK("#目录!A480","跳转回到目录页")</f>
        <v>跳转回到目录页</v>
      </c>
      <c r="F900" s="501"/>
    </row>
    <row r="901" spans="1:13" s="88" customFormat="1" ht="26.25" customHeight="1">
      <c r="A901" s="502" t="s">
        <v>1216</v>
      </c>
      <c r="B901" s="502"/>
      <c r="C901" s="503" t="s">
        <v>679</v>
      </c>
      <c r="D901" s="503"/>
      <c r="E901" s="503"/>
      <c r="F901" s="503"/>
      <c r="G901" s="503"/>
      <c r="H901" s="503"/>
      <c r="I901" s="503"/>
      <c r="J901" s="503"/>
      <c r="K901" s="503"/>
      <c r="L901" s="503"/>
      <c r="M901" s="503"/>
    </row>
    <row r="902" spans="1:13" s="88" customFormat="1" ht="16.5" customHeight="1">
      <c r="A902" s="496" t="s">
        <v>1217</v>
      </c>
      <c r="B902" s="496"/>
      <c r="C902" s="493" t="s">
        <v>679</v>
      </c>
      <c r="D902" s="493"/>
      <c r="E902" s="493"/>
      <c r="F902" s="493"/>
      <c r="G902" s="493"/>
      <c r="H902" s="493"/>
      <c r="I902" s="493"/>
      <c r="J902" s="493"/>
      <c r="K902" s="493"/>
      <c r="L902" s="493"/>
      <c r="M902" s="493"/>
    </row>
    <row r="903" spans="1:13" s="88" customFormat="1" ht="16.5" customHeight="1">
      <c r="A903" s="496" t="s">
        <v>5786</v>
      </c>
      <c r="B903" s="496"/>
      <c r="C903" s="497" t="s">
        <v>679</v>
      </c>
      <c r="D903" s="497"/>
      <c r="E903" s="497"/>
      <c r="F903" s="497"/>
      <c r="G903" s="497"/>
      <c r="H903" s="497"/>
      <c r="I903" s="497"/>
      <c r="J903" s="497"/>
      <c r="K903" s="497"/>
      <c r="L903" s="497"/>
      <c r="M903" s="497"/>
    </row>
    <row r="904" spans="1:13" s="88" customFormat="1" ht="16.5" customHeight="1">
      <c r="A904" s="496" t="s">
        <v>1220</v>
      </c>
      <c r="B904" s="496"/>
      <c r="C904" s="493" t="s">
        <v>5443</v>
      </c>
      <c r="D904" s="493"/>
      <c r="E904" s="493"/>
      <c r="F904" s="493"/>
      <c r="G904" s="493"/>
      <c r="H904" s="493"/>
      <c r="I904" s="493"/>
      <c r="J904" s="493"/>
      <c r="K904" s="493"/>
      <c r="L904" s="493"/>
      <c r="M904" s="493"/>
    </row>
    <row r="905" spans="1:13" s="88" customFormat="1" ht="16.5" customHeight="1">
      <c r="A905" s="496" t="s">
        <v>5785</v>
      </c>
      <c r="B905" s="496"/>
      <c r="C905" s="493" t="s">
        <v>5444</v>
      </c>
      <c r="D905" s="493"/>
      <c r="E905" s="493"/>
      <c r="F905" s="493"/>
      <c r="G905" s="493"/>
      <c r="H905" s="493"/>
      <c r="I905" s="493"/>
      <c r="J905" s="493"/>
      <c r="K905" s="493"/>
      <c r="L905" s="493"/>
      <c r="M905" s="493"/>
    </row>
    <row r="906" spans="1:13" s="88" customFormat="1" ht="16.5" customHeight="1">
      <c r="A906" s="89" t="s">
        <v>1223</v>
      </c>
      <c r="B906" s="92" t="s">
        <v>3299</v>
      </c>
      <c r="C906" s="493" t="s">
        <v>5403</v>
      </c>
      <c r="D906" s="493"/>
      <c r="E906" s="493"/>
      <c r="F906" s="493"/>
      <c r="G906" s="493"/>
      <c r="H906" s="493"/>
      <c r="I906" s="493"/>
      <c r="J906" s="493"/>
      <c r="K906" s="493"/>
      <c r="L906" s="493"/>
      <c r="M906" s="493"/>
    </row>
    <row r="907" spans="1:13" s="88" customFormat="1" ht="16.5" customHeight="1">
      <c r="A907" s="89"/>
      <c r="B907" s="92"/>
      <c r="C907" s="493"/>
      <c r="D907" s="493"/>
      <c r="E907" s="493"/>
      <c r="F907" s="493"/>
      <c r="G907" s="493"/>
      <c r="H907" s="493"/>
      <c r="I907" s="493"/>
      <c r="J907" s="493"/>
      <c r="K907" s="493"/>
      <c r="L907" s="493"/>
      <c r="M907" s="493"/>
    </row>
    <row r="908" spans="1:13" s="88" customFormat="1" ht="16.5" customHeight="1">
      <c r="A908" s="89"/>
      <c r="B908" s="90"/>
      <c r="C908" s="493"/>
      <c r="D908" s="493"/>
      <c r="E908" s="493"/>
      <c r="F908" s="493"/>
      <c r="G908" s="493"/>
      <c r="H908" s="493"/>
      <c r="I908" s="493"/>
      <c r="J908" s="493"/>
      <c r="K908" s="493"/>
      <c r="L908" s="493"/>
      <c r="M908" s="493"/>
    </row>
    <row r="909" spans="1:13" s="88" customFormat="1" ht="16.5" customHeight="1">
      <c r="A909" s="89" t="s">
        <v>1228</v>
      </c>
      <c r="B909" s="493"/>
      <c r="C909" s="493"/>
      <c r="D909" s="493"/>
      <c r="E909" s="493"/>
      <c r="F909" s="493"/>
      <c r="G909" s="493"/>
      <c r="H909" s="493"/>
      <c r="I909" s="493"/>
      <c r="J909" s="493"/>
      <c r="K909" s="493"/>
      <c r="L909" s="493"/>
      <c r="M909" s="493"/>
    </row>
    <row r="910" spans="1:13" ht="24.75" customHeight="1">
      <c r="A910" s="89" t="s">
        <v>1229</v>
      </c>
      <c r="B910" s="673" t="s">
        <v>5404</v>
      </c>
      <c r="C910" s="673"/>
      <c r="D910" s="673"/>
      <c r="E910" s="673"/>
      <c r="F910" s="673"/>
      <c r="G910" s="673"/>
      <c r="H910" s="673"/>
      <c r="I910" s="673"/>
      <c r="J910" s="673"/>
      <c r="K910" s="673"/>
      <c r="L910" s="673"/>
      <c r="M910" s="673"/>
    </row>
    <row r="911" spans="1:13" ht="21" customHeight="1">
      <c r="B911" s="494" t="s">
        <v>2863</v>
      </c>
      <c r="C911" s="494"/>
      <c r="D911" s="494"/>
      <c r="E911" s="494"/>
      <c r="F911" s="494"/>
      <c r="G911" s="494"/>
      <c r="H911" s="494"/>
      <c r="I911" s="494"/>
      <c r="J911" s="494"/>
      <c r="K911" s="494"/>
      <c r="L911" s="495"/>
    </row>
    <row r="912" spans="1:13" s="93" customFormat="1" ht="16.5" customHeight="1"/>
    <row r="913" spans="1:9" s="93" customFormat="1" ht="16.5" customHeight="1">
      <c r="A913" s="94" t="s">
        <v>1232</v>
      </c>
      <c r="B913" s="93" t="s">
        <v>1773</v>
      </c>
    </row>
    <row r="914" spans="1:9" ht="16.5" customHeight="1"/>
    <row r="915" spans="1:9" ht="16.5" customHeight="1"/>
    <row r="916" spans="1:9" ht="16.5" customHeight="1">
      <c r="B916" s="93"/>
      <c r="C916" s="93"/>
      <c r="D916" s="93"/>
      <c r="E916" s="104" t="s">
        <v>1238</v>
      </c>
      <c r="F916" s="93"/>
      <c r="G916" s="93"/>
      <c r="H916" s="93"/>
      <c r="I916" s="93"/>
    </row>
    <row r="917" spans="1:9" ht="16.5" customHeight="1">
      <c r="B917" s="93" t="s">
        <v>3630</v>
      </c>
      <c r="C917" s="93"/>
      <c r="D917" s="93" t="b">
        <f>ISNUMBER(C917)</f>
        <v>0</v>
      </c>
      <c r="E917" s="108" t="s">
        <v>5445</v>
      </c>
      <c r="F917" s="93"/>
      <c r="G917" s="93"/>
      <c r="H917" s="93" t="b">
        <v>1</v>
      </c>
      <c r="I917" s="93" t="b">
        <v>0</v>
      </c>
    </row>
    <row r="918" spans="1:9" ht="16.5" customHeight="1">
      <c r="B918" s="147" t="s">
        <v>5407</v>
      </c>
      <c r="C918" s="93" t="str">
        <f>""</f>
        <v/>
      </c>
      <c r="D918" s="93" t="b">
        <f t="shared" ref="D918:D933" si="9">ISNUMBER(C918)</f>
        <v>0</v>
      </c>
      <c r="E918" s="93"/>
      <c r="F918" s="93"/>
      <c r="G918" s="93"/>
      <c r="H918" s="94" t="s">
        <v>5408</v>
      </c>
      <c r="I918" s="94" t="s">
        <v>5409</v>
      </c>
    </row>
    <row r="919" spans="1:9" ht="16.5" customHeight="1">
      <c r="B919" s="93" t="s">
        <v>5410</v>
      </c>
      <c r="C919" s="93" t="s">
        <v>5411</v>
      </c>
      <c r="D919" s="93" t="b">
        <f t="shared" si="9"/>
        <v>0</v>
      </c>
      <c r="E919" s="93"/>
      <c r="F919" s="93"/>
      <c r="G919" s="93"/>
      <c r="H919" s="93"/>
      <c r="I919" s="93"/>
    </row>
    <row r="920" spans="1:9" ht="16.5" customHeight="1">
      <c r="B920" s="93" t="s">
        <v>3088</v>
      </c>
      <c r="C920" s="93" t="s">
        <v>1904</v>
      </c>
      <c r="D920" s="93" t="b">
        <f t="shared" si="9"/>
        <v>0</v>
      </c>
      <c r="E920" s="93"/>
      <c r="F920" s="93"/>
      <c r="G920" s="93"/>
      <c r="H920" s="93"/>
      <c r="I920" s="93"/>
    </row>
    <row r="921" spans="1:9" ht="16.5" customHeight="1">
      <c r="B921" s="93" t="s">
        <v>1371</v>
      </c>
      <c r="C921" s="148">
        <v>40834</v>
      </c>
      <c r="D921" s="93" t="b">
        <f t="shared" si="9"/>
        <v>1</v>
      </c>
      <c r="E921" s="93"/>
      <c r="F921" s="93"/>
      <c r="G921" s="93"/>
      <c r="H921" s="93"/>
      <c r="I921" s="93"/>
    </row>
    <row r="922" spans="1:9" ht="16.5" customHeight="1">
      <c r="B922" s="116" t="s">
        <v>5412</v>
      </c>
      <c r="C922" s="93" t="e">
        <f>1/0</f>
        <v>#DIV/0!</v>
      </c>
      <c r="D922" s="93" t="b">
        <f t="shared" si="9"/>
        <v>0</v>
      </c>
      <c r="E922" s="93"/>
      <c r="F922" s="93"/>
      <c r="G922" s="93"/>
      <c r="H922" s="93"/>
      <c r="I922" s="93"/>
    </row>
    <row r="923" spans="1:9" ht="16.5" customHeight="1">
      <c r="B923" s="93" t="s">
        <v>3632</v>
      </c>
      <c r="C923" s="93" t="e">
        <v>#VALUE!</v>
      </c>
      <c r="D923" s="93" t="b">
        <f t="shared" si="9"/>
        <v>0</v>
      </c>
      <c r="E923" s="93"/>
      <c r="F923" s="93"/>
      <c r="G923" s="93"/>
      <c r="H923" s="93"/>
      <c r="I923" s="93"/>
    </row>
    <row r="924" spans="1:9" ht="16.5" customHeight="1">
      <c r="B924" s="93" t="s">
        <v>3632</v>
      </c>
      <c r="C924" s="93" t="e">
        <v>#N/A</v>
      </c>
      <c r="D924" s="93" t="b">
        <f t="shared" si="9"/>
        <v>0</v>
      </c>
      <c r="E924" s="93"/>
      <c r="F924" s="93"/>
      <c r="G924" s="93"/>
      <c r="H924" s="93"/>
      <c r="I924" s="93"/>
    </row>
    <row r="925" spans="1:9" ht="16.5" customHeight="1">
      <c r="B925" s="93" t="s">
        <v>3632</v>
      </c>
      <c r="C925" s="93" t="e">
        <v>#REF!</v>
      </c>
      <c r="D925" s="93" t="b">
        <f t="shared" si="9"/>
        <v>0</v>
      </c>
      <c r="E925" s="93"/>
      <c r="F925" s="93"/>
      <c r="G925" s="93"/>
      <c r="H925" s="93"/>
      <c r="I925" s="93"/>
    </row>
    <row r="926" spans="1:9" ht="16.5" customHeight="1">
      <c r="B926" s="93" t="s">
        <v>3632</v>
      </c>
      <c r="C926" s="93" t="e">
        <v>#DIV/0!</v>
      </c>
      <c r="D926" s="93" t="b">
        <f t="shared" si="9"/>
        <v>0</v>
      </c>
      <c r="E926" s="93"/>
      <c r="F926" s="93"/>
      <c r="G926" s="93"/>
      <c r="H926" s="93"/>
      <c r="I926" s="93"/>
    </row>
    <row r="927" spans="1:9" ht="16.5" customHeight="1">
      <c r="B927" s="93" t="s">
        <v>3632</v>
      </c>
      <c r="C927" s="93" t="e">
        <v>#NUM!</v>
      </c>
      <c r="D927" s="93" t="b">
        <f t="shared" si="9"/>
        <v>0</v>
      </c>
      <c r="E927" s="93"/>
      <c r="F927" s="93"/>
      <c r="G927" s="93"/>
      <c r="H927" s="93"/>
      <c r="I927" s="93"/>
    </row>
    <row r="928" spans="1:9" ht="16.5" customHeight="1">
      <c r="B928" s="93" t="s">
        <v>3632</v>
      </c>
      <c r="C928" s="93" t="e">
        <v>#NAME?</v>
      </c>
      <c r="D928" s="93" t="b">
        <f t="shared" si="9"/>
        <v>0</v>
      </c>
      <c r="E928" s="93"/>
      <c r="F928" s="93"/>
      <c r="G928" s="93"/>
      <c r="H928" s="93"/>
      <c r="I928" s="93"/>
    </row>
    <row r="929" spans="2:9" ht="16.5" customHeight="1">
      <c r="B929" s="93" t="s">
        <v>3632</v>
      </c>
      <c r="C929" s="93" t="e">
        <v>#NULL!</v>
      </c>
      <c r="D929" s="93" t="b">
        <f t="shared" si="9"/>
        <v>0</v>
      </c>
      <c r="E929" s="93"/>
      <c r="F929" s="93"/>
      <c r="G929" s="93"/>
      <c r="H929" s="93"/>
      <c r="I929" s="93"/>
    </row>
    <row r="930" spans="2:9" ht="16.5" customHeight="1">
      <c r="B930" s="93" t="s">
        <v>2087</v>
      </c>
      <c r="C930" s="93">
        <v>6</v>
      </c>
      <c r="D930" s="93" t="b">
        <f t="shared" si="9"/>
        <v>1</v>
      </c>
      <c r="E930" s="93"/>
      <c r="F930" s="93"/>
      <c r="G930" s="93"/>
      <c r="H930" s="93"/>
      <c r="I930" s="93"/>
    </row>
    <row r="931" spans="2:9" ht="16.5" customHeight="1">
      <c r="B931" s="93" t="s">
        <v>2087</v>
      </c>
      <c r="C931" s="93">
        <v>7</v>
      </c>
      <c r="D931" s="93" t="b">
        <f t="shared" si="9"/>
        <v>1</v>
      </c>
      <c r="E931" s="93"/>
      <c r="F931" s="93"/>
      <c r="G931" s="93"/>
      <c r="H931" s="93"/>
      <c r="I931" s="93"/>
    </row>
    <row r="932" spans="2:9" ht="16.5" customHeight="1">
      <c r="B932" s="93" t="s">
        <v>3628</v>
      </c>
      <c r="C932" s="94" t="b">
        <v>1</v>
      </c>
      <c r="D932" s="93" t="b">
        <f t="shared" si="9"/>
        <v>0</v>
      </c>
      <c r="E932" s="93"/>
      <c r="F932" s="93"/>
      <c r="G932" s="93"/>
      <c r="H932" s="93"/>
      <c r="I932" s="93"/>
    </row>
    <row r="933" spans="2:9" ht="16.5" customHeight="1">
      <c r="B933" s="93" t="s">
        <v>3628</v>
      </c>
      <c r="C933" s="94" t="b">
        <v>0</v>
      </c>
      <c r="D933" s="93" t="b">
        <f t="shared" si="9"/>
        <v>0</v>
      </c>
      <c r="E933" s="93"/>
      <c r="F933" s="93"/>
      <c r="G933" s="93"/>
      <c r="H933" s="93"/>
      <c r="I933" s="93"/>
    </row>
    <row r="1000" spans="1:13" s="88" customFormat="1" ht="26.25" customHeight="1">
      <c r="A1000" s="498" t="s">
        <v>990</v>
      </c>
      <c r="B1000" s="498"/>
      <c r="C1000" s="499"/>
      <c r="D1000" s="87"/>
      <c r="E1000" s="500" t="str">
        <f>HYPERLINK("#目录!A481","跳转回到目录页")</f>
        <v>跳转回到目录页</v>
      </c>
      <c r="F1000" s="501"/>
    </row>
    <row r="1001" spans="1:13" s="88" customFormat="1" ht="26.25" customHeight="1">
      <c r="A1001" s="502" t="s">
        <v>1216</v>
      </c>
      <c r="B1001" s="502"/>
      <c r="C1001" s="503" t="s">
        <v>680</v>
      </c>
      <c r="D1001" s="503"/>
      <c r="E1001" s="503"/>
      <c r="F1001" s="503"/>
      <c r="G1001" s="503"/>
      <c r="H1001" s="503"/>
      <c r="I1001" s="503"/>
      <c r="J1001" s="503"/>
      <c r="K1001" s="503"/>
      <c r="L1001" s="503"/>
      <c r="M1001" s="503"/>
    </row>
    <row r="1002" spans="1:13" s="88" customFormat="1" ht="16.5" customHeight="1">
      <c r="A1002" s="496" t="s">
        <v>1217</v>
      </c>
      <c r="B1002" s="496"/>
      <c r="C1002" s="493" t="s">
        <v>680</v>
      </c>
      <c r="D1002" s="493"/>
      <c r="E1002" s="493"/>
      <c r="F1002" s="493"/>
      <c r="G1002" s="493"/>
      <c r="H1002" s="493"/>
      <c r="I1002" s="493"/>
      <c r="J1002" s="493"/>
      <c r="K1002" s="493"/>
      <c r="L1002" s="493"/>
      <c r="M1002" s="493"/>
    </row>
    <row r="1003" spans="1:13" s="88" customFormat="1" ht="16.5" customHeight="1">
      <c r="A1003" s="496" t="s">
        <v>5786</v>
      </c>
      <c r="B1003" s="496"/>
      <c r="C1003" s="497" t="s">
        <v>680</v>
      </c>
      <c r="D1003" s="497"/>
      <c r="E1003" s="497"/>
      <c r="F1003" s="497"/>
      <c r="G1003" s="497"/>
      <c r="H1003" s="497"/>
      <c r="I1003" s="497"/>
      <c r="J1003" s="497"/>
      <c r="K1003" s="497"/>
      <c r="L1003" s="497"/>
      <c r="M1003" s="497"/>
    </row>
    <row r="1004" spans="1:13" s="88" customFormat="1" ht="16.5" customHeight="1">
      <c r="A1004" s="496" t="s">
        <v>1220</v>
      </c>
      <c r="B1004" s="496"/>
      <c r="C1004" s="493" t="s">
        <v>5446</v>
      </c>
      <c r="D1004" s="493"/>
      <c r="E1004" s="493"/>
      <c r="F1004" s="493"/>
      <c r="G1004" s="493"/>
      <c r="H1004" s="493"/>
      <c r="I1004" s="493"/>
      <c r="J1004" s="493"/>
      <c r="K1004" s="493"/>
      <c r="L1004" s="493"/>
      <c r="M1004" s="493"/>
    </row>
    <row r="1005" spans="1:13" s="88" customFormat="1" ht="16.5" customHeight="1">
      <c r="A1005" s="496" t="s">
        <v>5785</v>
      </c>
      <c r="B1005" s="496"/>
      <c r="C1005" s="493" t="s">
        <v>5447</v>
      </c>
      <c r="D1005" s="493"/>
      <c r="E1005" s="493"/>
      <c r="F1005" s="493"/>
      <c r="G1005" s="493"/>
      <c r="H1005" s="493"/>
      <c r="I1005" s="493"/>
      <c r="J1005" s="493"/>
      <c r="K1005" s="493"/>
      <c r="L1005" s="493"/>
      <c r="M1005" s="493"/>
    </row>
    <row r="1006" spans="1:13" s="88" customFormat="1" ht="16.5" customHeight="1">
      <c r="A1006" s="89" t="s">
        <v>1223</v>
      </c>
      <c r="B1006" s="92" t="s">
        <v>3299</v>
      </c>
      <c r="C1006" s="493" t="s">
        <v>5403</v>
      </c>
      <c r="D1006" s="493"/>
      <c r="E1006" s="493"/>
      <c r="F1006" s="493"/>
      <c r="G1006" s="493"/>
      <c r="H1006" s="493"/>
      <c r="I1006" s="493"/>
      <c r="J1006" s="493"/>
      <c r="K1006" s="493"/>
      <c r="L1006" s="493"/>
      <c r="M1006" s="493"/>
    </row>
    <row r="1007" spans="1:13" s="88" customFormat="1" ht="16.5" customHeight="1">
      <c r="A1007" s="89"/>
      <c r="B1007" s="92"/>
      <c r="C1007" s="493"/>
      <c r="D1007" s="493"/>
      <c r="E1007" s="493"/>
      <c r="F1007" s="493"/>
      <c r="G1007" s="493"/>
      <c r="H1007" s="493"/>
      <c r="I1007" s="493"/>
      <c r="J1007" s="493"/>
      <c r="K1007" s="493"/>
      <c r="L1007" s="493"/>
      <c r="M1007" s="493"/>
    </row>
    <row r="1008" spans="1:13" s="88" customFormat="1" ht="16.5" customHeight="1">
      <c r="A1008" s="89"/>
      <c r="B1008" s="90"/>
      <c r="C1008" s="493"/>
      <c r="D1008" s="493"/>
      <c r="E1008" s="493"/>
      <c r="F1008" s="493"/>
      <c r="G1008" s="493"/>
      <c r="H1008" s="493"/>
      <c r="I1008" s="493"/>
      <c r="J1008" s="493"/>
      <c r="K1008" s="493"/>
      <c r="L1008" s="493"/>
      <c r="M1008" s="493"/>
    </row>
    <row r="1009" spans="1:13" s="88" customFormat="1" ht="16.5" customHeight="1">
      <c r="A1009" s="89" t="s">
        <v>1228</v>
      </c>
      <c r="B1009" s="493"/>
      <c r="C1009" s="493"/>
      <c r="D1009" s="493"/>
      <c r="E1009" s="493"/>
      <c r="F1009" s="493"/>
      <c r="G1009" s="493"/>
      <c r="H1009" s="493"/>
      <c r="I1009" s="493"/>
      <c r="J1009" s="493"/>
      <c r="K1009" s="493"/>
      <c r="L1009" s="493"/>
      <c r="M1009" s="493"/>
    </row>
    <row r="1010" spans="1:13" ht="24.75" customHeight="1">
      <c r="A1010" s="89" t="s">
        <v>1229</v>
      </c>
      <c r="B1010" s="673" t="s">
        <v>5404</v>
      </c>
      <c r="C1010" s="673"/>
      <c r="D1010" s="673"/>
      <c r="E1010" s="673"/>
      <c r="F1010" s="673"/>
      <c r="G1010" s="673"/>
      <c r="H1010" s="673"/>
      <c r="I1010" s="673"/>
      <c r="J1010" s="673"/>
      <c r="K1010" s="673"/>
      <c r="L1010" s="673"/>
      <c r="M1010" s="673"/>
    </row>
    <row r="1011" spans="1:13" ht="21" customHeight="1">
      <c r="B1011" s="494" t="s">
        <v>2863</v>
      </c>
      <c r="C1011" s="494"/>
      <c r="D1011" s="494"/>
      <c r="E1011" s="494"/>
      <c r="F1011" s="494"/>
      <c r="G1011" s="494"/>
      <c r="H1011" s="494"/>
      <c r="I1011" s="494"/>
      <c r="J1011" s="494"/>
      <c r="K1011" s="494"/>
      <c r="L1011" s="495"/>
    </row>
    <row r="1012" spans="1:13" s="93" customFormat="1" ht="16.5" customHeight="1"/>
    <row r="1013" spans="1:13" s="93" customFormat="1" ht="16.5" customHeight="1">
      <c r="A1013" s="94" t="s">
        <v>1232</v>
      </c>
      <c r="B1013" s="93" t="s">
        <v>1773</v>
      </c>
    </row>
    <row r="1014" spans="1:13" ht="16.5" customHeight="1"/>
    <row r="1015" spans="1:13" ht="16.5" customHeight="1"/>
    <row r="1016" spans="1:13" ht="16.5" customHeight="1">
      <c r="B1016" s="93"/>
      <c r="C1016" s="93"/>
      <c r="D1016" s="93"/>
      <c r="E1016" s="104" t="s">
        <v>1238</v>
      </c>
      <c r="F1016" s="93"/>
      <c r="G1016" s="93"/>
      <c r="H1016" s="93"/>
      <c r="I1016" s="93"/>
    </row>
    <row r="1017" spans="1:13" ht="16.5" customHeight="1">
      <c r="B1017" s="93" t="s">
        <v>3630</v>
      </c>
      <c r="C1017" s="93"/>
      <c r="D1017" s="93" t="b">
        <f>ISREF(C1017)</f>
        <v>1</v>
      </c>
      <c r="E1017" s="108" t="s">
        <v>5448</v>
      </c>
      <c r="F1017" s="93"/>
      <c r="G1017" s="93"/>
      <c r="H1017" s="93" t="b">
        <v>1</v>
      </c>
      <c r="I1017" s="93" t="b">
        <v>0</v>
      </c>
    </row>
    <row r="1018" spans="1:13" ht="16.5" customHeight="1">
      <c r="B1018" s="147" t="s">
        <v>5407</v>
      </c>
      <c r="C1018" s="93" t="str">
        <f>""</f>
        <v/>
      </c>
      <c r="D1018" s="93" t="b">
        <f t="shared" ref="D1018:D1033" si="10">ISREF(C1018)</f>
        <v>1</v>
      </c>
      <c r="E1018" s="93"/>
      <c r="F1018" s="93"/>
      <c r="G1018" s="93"/>
      <c r="H1018" s="94" t="s">
        <v>5408</v>
      </c>
      <c r="I1018" s="94" t="s">
        <v>5409</v>
      </c>
    </row>
    <row r="1019" spans="1:13" ht="16.5" customHeight="1">
      <c r="B1019" s="93" t="s">
        <v>5410</v>
      </c>
      <c r="C1019" s="93" t="s">
        <v>5411</v>
      </c>
      <c r="D1019" s="93" t="b">
        <f t="shared" si="10"/>
        <v>1</v>
      </c>
      <c r="E1019" s="93"/>
      <c r="F1019" s="93"/>
      <c r="G1019" s="93"/>
      <c r="H1019" s="93"/>
      <c r="I1019" s="93"/>
    </row>
    <row r="1020" spans="1:13" ht="16.5" customHeight="1">
      <c r="B1020" s="93" t="s">
        <v>3088</v>
      </c>
      <c r="C1020" s="93" t="s">
        <v>1904</v>
      </c>
      <c r="D1020" s="93" t="b">
        <f t="shared" si="10"/>
        <v>1</v>
      </c>
      <c r="E1020" s="93"/>
      <c r="F1020" s="93"/>
      <c r="G1020" s="93"/>
      <c r="H1020" s="93"/>
      <c r="I1020" s="93"/>
    </row>
    <row r="1021" spans="1:13" ht="16.5" customHeight="1">
      <c r="B1021" s="93" t="s">
        <v>1371</v>
      </c>
      <c r="C1021" s="148">
        <v>40834</v>
      </c>
      <c r="D1021" s="93" t="b">
        <f t="shared" si="10"/>
        <v>1</v>
      </c>
      <c r="E1021" s="93"/>
      <c r="F1021" s="93"/>
      <c r="G1021" s="93"/>
      <c r="H1021" s="93"/>
      <c r="I1021" s="93"/>
    </row>
    <row r="1022" spans="1:13" ht="16.5" customHeight="1">
      <c r="B1022" s="116" t="s">
        <v>5412</v>
      </c>
      <c r="C1022" s="93" t="e">
        <f>1/0</f>
        <v>#DIV/0!</v>
      </c>
      <c r="D1022" s="93" t="b">
        <f t="shared" si="10"/>
        <v>1</v>
      </c>
      <c r="E1022" s="93"/>
      <c r="F1022" s="93"/>
      <c r="G1022" s="93"/>
      <c r="H1022" s="93"/>
      <c r="I1022" s="93"/>
    </row>
    <row r="1023" spans="1:13" ht="16.5" customHeight="1">
      <c r="B1023" s="93" t="s">
        <v>3632</v>
      </c>
      <c r="C1023" s="93" t="e">
        <v>#VALUE!</v>
      </c>
      <c r="D1023" s="93" t="b">
        <f t="shared" si="10"/>
        <v>1</v>
      </c>
      <c r="E1023" s="93"/>
      <c r="F1023" s="93"/>
      <c r="G1023" s="93"/>
      <c r="H1023" s="93"/>
      <c r="I1023" s="93"/>
    </row>
    <row r="1024" spans="1:13" ht="16.5" customHeight="1">
      <c r="B1024" s="93" t="s">
        <v>3632</v>
      </c>
      <c r="C1024" s="93" t="e">
        <v>#N/A</v>
      </c>
      <c r="D1024" s="93" t="b">
        <f t="shared" si="10"/>
        <v>1</v>
      </c>
      <c r="E1024" s="93"/>
      <c r="F1024" s="93"/>
      <c r="G1024" s="93"/>
      <c r="H1024" s="93"/>
      <c r="I1024" s="93"/>
    </row>
    <row r="1025" spans="2:9" ht="16.5" customHeight="1">
      <c r="B1025" s="93" t="s">
        <v>3632</v>
      </c>
      <c r="C1025" s="93" t="e">
        <v>#REF!</v>
      </c>
      <c r="D1025" s="93" t="b">
        <f t="shared" si="10"/>
        <v>1</v>
      </c>
      <c r="E1025" s="93"/>
      <c r="F1025" s="93"/>
      <c r="G1025" s="93"/>
      <c r="H1025" s="93"/>
      <c r="I1025" s="93"/>
    </row>
    <row r="1026" spans="2:9" ht="16.5" customHeight="1">
      <c r="B1026" s="93" t="s">
        <v>3632</v>
      </c>
      <c r="C1026" s="93" t="e">
        <v>#DIV/0!</v>
      </c>
      <c r="D1026" s="93" t="b">
        <f t="shared" si="10"/>
        <v>1</v>
      </c>
      <c r="E1026" s="93"/>
      <c r="F1026" s="93"/>
      <c r="G1026" s="93"/>
      <c r="H1026" s="93"/>
      <c r="I1026" s="93"/>
    </row>
    <row r="1027" spans="2:9" ht="16.5" customHeight="1">
      <c r="B1027" s="93" t="s">
        <v>3632</v>
      </c>
      <c r="C1027" s="93" t="e">
        <v>#NUM!</v>
      </c>
      <c r="D1027" s="93" t="b">
        <f t="shared" si="10"/>
        <v>1</v>
      </c>
      <c r="E1027" s="93"/>
      <c r="F1027" s="93"/>
      <c r="G1027" s="93"/>
      <c r="H1027" s="93"/>
      <c r="I1027" s="93"/>
    </row>
    <row r="1028" spans="2:9" ht="16.5" customHeight="1">
      <c r="B1028" s="93" t="s">
        <v>3632</v>
      </c>
      <c r="C1028" s="93" t="e">
        <v>#NAME?</v>
      </c>
      <c r="D1028" s="93" t="b">
        <f t="shared" si="10"/>
        <v>1</v>
      </c>
      <c r="E1028" s="93"/>
      <c r="F1028" s="93"/>
      <c r="G1028" s="93"/>
      <c r="H1028" s="93"/>
      <c r="I1028" s="93"/>
    </row>
    <row r="1029" spans="2:9" ht="16.5" customHeight="1">
      <c r="B1029" s="93" t="s">
        <v>3632</v>
      </c>
      <c r="C1029" s="93" t="e">
        <v>#NULL!</v>
      </c>
      <c r="D1029" s="93" t="b">
        <f t="shared" si="10"/>
        <v>1</v>
      </c>
      <c r="E1029" s="93"/>
      <c r="F1029" s="93"/>
      <c r="G1029" s="93"/>
      <c r="H1029" s="93"/>
      <c r="I1029" s="93"/>
    </row>
    <row r="1030" spans="2:9" ht="16.5" customHeight="1">
      <c r="B1030" s="93" t="s">
        <v>2087</v>
      </c>
      <c r="C1030" s="93">
        <v>6</v>
      </c>
      <c r="D1030" s="93" t="b">
        <f t="shared" si="10"/>
        <v>1</v>
      </c>
      <c r="E1030" s="93"/>
      <c r="F1030" s="93"/>
      <c r="G1030" s="93"/>
      <c r="H1030" s="93"/>
      <c r="I1030" s="93"/>
    </row>
    <row r="1031" spans="2:9" ht="16.5" customHeight="1">
      <c r="B1031" s="93" t="s">
        <v>2087</v>
      </c>
      <c r="C1031" s="93">
        <v>7</v>
      </c>
      <c r="D1031" s="93" t="b">
        <f t="shared" si="10"/>
        <v>1</v>
      </c>
      <c r="E1031" s="93"/>
      <c r="F1031" s="93"/>
      <c r="G1031" s="93"/>
      <c r="H1031" s="93"/>
      <c r="I1031" s="93"/>
    </row>
    <row r="1032" spans="2:9" ht="16.5" customHeight="1">
      <c r="B1032" s="93" t="s">
        <v>3628</v>
      </c>
      <c r="C1032" s="94" t="b">
        <v>1</v>
      </c>
      <c r="D1032" s="93" t="b">
        <f t="shared" si="10"/>
        <v>1</v>
      </c>
      <c r="E1032" s="93"/>
      <c r="F1032" s="93"/>
      <c r="G1032" s="93"/>
      <c r="H1032" s="93"/>
      <c r="I1032" s="93"/>
    </row>
    <row r="1033" spans="2:9" ht="16.5" customHeight="1">
      <c r="B1033" s="93" t="s">
        <v>3628</v>
      </c>
      <c r="C1033" s="94" t="b">
        <v>0</v>
      </c>
      <c r="D1033" s="93" t="b">
        <f t="shared" si="10"/>
        <v>1</v>
      </c>
      <c r="E1033" s="93"/>
      <c r="F1033" s="93"/>
      <c r="G1033" s="93"/>
      <c r="H1033" s="93"/>
      <c r="I1033" s="93"/>
    </row>
    <row r="1034" spans="2:9" ht="16.5" customHeight="1"/>
  </sheetData>
  <mergeCells count="198">
    <mergeCell ref="A1:C1"/>
    <mergeCell ref="E1:F1"/>
    <mergeCell ref="A2:B2"/>
    <mergeCell ref="C2:M2"/>
    <mergeCell ref="A3:B3"/>
    <mergeCell ref="C3:M3"/>
    <mergeCell ref="C7:M7"/>
    <mergeCell ref="C8:M8"/>
    <mergeCell ref="C9:M9"/>
    <mergeCell ref="B10:M10"/>
    <mergeCell ref="B11:M11"/>
    <mergeCell ref="B12:L12"/>
    <mergeCell ref="A4:B4"/>
    <mergeCell ref="C4:M4"/>
    <mergeCell ref="A5:B5"/>
    <mergeCell ref="C5:M5"/>
    <mergeCell ref="A6:B6"/>
    <mergeCell ref="C6:M6"/>
    <mergeCell ref="A103:B103"/>
    <mergeCell ref="C103:M103"/>
    <mergeCell ref="A104:B104"/>
    <mergeCell ref="C104:M104"/>
    <mergeCell ref="A105:B105"/>
    <mergeCell ref="C105:M105"/>
    <mergeCell ref="A100:C100"/>
    <mergeCell ref="E100:F100"/>
    <mergeCell ref="A101:B101"/>
    <mergeCell ref="C101:M101"/>
    <mergeCell ref="A102:B102"/>
    <mergeCell ref="C102:M102"/>
    <mergeCell ref="A200:C200"/>
    <mergeCell ref="E200:F200"/>
    <mergeCell ref="A201:B201"/>
    <mergeCell ref="C201:M201"/>
    <mergeCell ref="A202:B202"/>
    <mergeCell ref="C202:M202"/>
    <mergeCell ref="C106:M106"/>
    <mergeCell ref="C107:M107"/>
    <mergeCell ref="C108:M108"/>
    <mergeCell ref="B109:M109"/>
    <mergeCell ref="B110:M110"/>
    <mergeCell ref="B111:L111"/>
    <mergeCell ref="C206:M206"/>
    <mergeCell ref="C207:M207"/>
    <mergeCell ref="C208:M208"/>
    <mergeCell ref="B209:M209"/>
    <mergeCell ref="B210:M210"/>
    <mergeCell ref="B211:L211"/>
    <mergeCell ref="A203:B203"/>
    <mergeCell ref="C203:M203"/>
    <mergeCell ref="A204:B204"/>
    <mergeCell ref="C204:M204"/>
    <mergeCell ref="A205:B205"/>
    <mergeCell ref="C205:M205"/>
    <mergeCell ref="A303:B303"/>
    <mergeCell ref="C303:M303"/>
    <mergeCell ref="A304:B304"/>
    <mergeCell ref="C304:M304"/>
    <mergeCell ref="A305:B305"/>
    <mergeCell ref="C305:M305"/>
    <mergeCell ref="A300:C300"/>
    <mergeCell ref="E300:F300"/>
    <mergeCell ref="A301:B301"/>
    <mergeCell ref="C301:M301"/>
    <mergeCell ref="A302:B302"/>
    <mergeCell ref="C302:M302"/>
    <mergeCell ref="A400:C400"/>
    <mergeCell ref="E400:F400"/>
    <mergeCell ref="A401:B401"/>
    <mergeCell ref="C401:M401"/>
    <mergeCell ref="A402:B402"/>
    <mergeCell ref="C402:M402"/>
    <mergeCell ref="C306:M306"/>
    <mergeCell ref="C307:M307"/>
    <mergeCell ref="C308:M308"/>
    <mergeCell ref="B309:M309"/>
    <mergeCell ref="B310:M310"/>
    <mergeCell ref="B311:L311"/>
    <mergeCell ref="C406:M406"/>
    <mergeCell ref="C407:M407"/>
    <mergeCell ref="C408:M408"/>
    <mergeCell ref="B409:M409"/>
    <mergeCell ref="B410:M410"/>
    <mergeCell ref="B411:L411"/>
    <mergeCell ref="A403:B403"/>
    <mergeCell ref="C403:M403"/>
    <mergeCell ref="A404:B404"/>
    <mergeCell ref="C404:M404"/>
    <mergeCell ref="A405:B405"/>
    <mergeCell ref="C405:M405"/>
    <mergeCell ref="A503:B503"/>
    <mergeCell ref="C503:M503"/>
    <mergeCell ref="A504:B504"/>
    <mergeCell ref="C504:M504"/>
    <mergeCell ref="A505:B505"/>
    <mergeCell ref="C505:M505"/>
    <mergeCell ref="A500:C500"/>
    <mergeCell ref="E500:F500"/>
    <mergeCell ref="A501:B501"/>
    <mergeCell ref="C501:M501"/>
    <mergeCell ref="A502:B502"/>
    <mergeCell ref="C502:M502"/>
    <mergeCell ref="A600:C600"/>
    <mergeCell ref="E600:F600"/>
    <mergeCell ref="A601:B601"/>
    <mergeCell ref="C601:M601"/>
    <mergeCell ref="A602:B602"/>
    <mergeCell ref="C602:M602"/>
    <mergeCell ref="C506:M506"/>
    <mergeCell ref="C507:M507"/>
    <mergeCell ref="C508:M508"/>
    <mergeCell ref="B509:M509"/>
    <mergeCell ref="B510:M510"/>
    <mergeCell ref="B511:L511"/>
    <mergeCell ref="C606:M606"/>
    <mergeCell ref="C607:M607"/>
    <mergeCell ref="C608:M608"/>
    <mergeCell ref="B609:M609"/>
    <mergeCell ref="B610:M610"/>
    <mergeCell ref="B611:L611"/>
    <mergeCell ref="A603:B603"/>
    <mergeCell ref="C603:M603"/>
    <mergeCell ref="A604:B604"/>
    <mergeCell ref="C604:M604"/>
    <mergeCell ref="A605:B605"/>
    <mergeCell ref="C605:M605"/>
    <mergeCell ref="A703:B703"/>
    <mergeCell ref="C703:M703"/>
    <mergeCell ref="A704:B704"/>
    <mergeCell ref="C704:M704"/>
    <mergeCell ref="A705:B705"/>
    <mergeCell ref="C705:M705"/>
    <mergeCell ref="A700:C700"/>
    <mergeCell ref="E700:F700"/>
    <mergeCell ref="A701:B701"/>
    <mergeCell ref="C701:M701"/>
    <mergeCell ref="A702:B702"/>
    <mergeCell ref="C702:M702"/>
    <mergeCell ref="A800:C800"/>
    <mergeCell ref="E800:F800"/>
    <mergeCell ref="A801:B801"/>
    <mergeCell ref="C801:M801"/>
    <mergeCell ref="A802:B802"/>
    <mergeCell ref="C802:M802"/>
    <mergeCell ref="C706:M706"/>
    <mergeCell ref="C707:M707"/>
    <mergeCell ref="C708:M708"/>
    <mergeCell ref="B709:M709"/>
    <mergeCell ref="B710:M710"/>
    <mergeCell ref="B711:L711"/>
    <mergeCell ref="C806:M806"/>
    <mergeCell ref="C807:M807"/>
    <mergeCell ref="C808:M808"/>
    <mergeCell ref="B809:M809"/>
    <mergeCell ref="B810:M810"/>
    <mergeCell ref="B811:L811"/>
    <mergeCell ref="A803:B803"/>
    <mergeCell ref="C803:M803"/>
    <mergeCell ref="A804:B804"/>
    <mergeCell ref="C804:M804"/>
    <mergeCell ref="A805:B805"/>
    <mergeCell ref="C805:M805"/>
    <mergeCell ref="A903:B903"/>
    <mergeCell ref="C903:M903"/>
    <mergeCell ref="A904:B904"/>
    <mergeCell ref="C904:M904"/>
    <mergeCell ref="A905:B905"/>
    <mergeCell ref="C905:M905"/>
    <mergeCell ref="A900:C900"/>
    <mergeCell ref="E900:F900"/>
    <mergeCell ref="A901:B901"/>
    <mergeCell ref="C901:M901"/>
    <mergeCell ref="A902:B902"/>
    <mergeCell ref="C902:M902"/>
    <mergeCell ref="A1000:C1000"/>
    <mergeCell ref="E1000:F1000"/>
    <mergeCell ref="A1001:B1001"/>
    <mergeCell ref="C1001:M1001"/>
    <mergeCell ref="A1002:B1002"/>
    <mergeCell ref="C1002:M1002"/>
    <mergeCell ref="C906:M906"/>
    <mergeCell ref="C907:M907"/>
    <mergeCell ref="C908:M908"/>
    <mergeCell ref="B909:M909"/>
    <mergeCell ref="B910:M910"/>
    <mergeCell ref="B911:L911"/>
    <mergeCell ref="C1006:M1006"/>
    <mergeCell ref="C1007:M1007"/>
    <mergeCell ref="C1008:M1008"/>
    <mergeCell ref="B1009:M1009"/>
    <mergeCell ref="B1010:M1010"/>
    <mergeCell ref="B1011:L1011"/>
    <mergeCell ref="A1003:B1003"/>
    <mergeCell ref="C1003:M1003"/>
    <mergeCell ref="A1004:B1004"/>
    <mergeCell ref="C1004:M1004"/>
    <mergeCell ref="A1005:B1005"/>
    <mergeCell ref="C1005:M1005"/>
  </mergeCells>
  <phoneticPr fontId="2" type="noConversion"/>
  <pageMargins left="0.75" right="0.75" top="1" bottom="1" header="0.5" footer="0.5"/>
  <headerFooter scaleWithDoc="0"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3"/>
  <dimension ref="A1:AV244"/>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1036</v>
      </c>
      <c r="B1" s="498"/>
      <c r="C1" s="499"/>
      <c r="D1" s="87"/>
      <c r="E1" s="500" t="str">
        <f>HYPERLINK("#目录!A483","跳转回到目录页")</f>
        <v>跳转回到目录页</v>
      </c>
      <c r="F1" s="501"/>
    </row>
    <row r="2" spans="1:48" s="88" customFormat="1" ht="26.25" customHeight="1">
      <c r="A2" s="502" t="s">
        <v>1216</v>
      </c>
      <c r="B2" s="502"/>
      <c r="C2" s="503" t="s">
        <v>681</v>
      </c>
      <c r="D2" s="503"/>
      <c r="E2" s="503"/>
      <c r="F2" s="503"/>
      <c r="G2" s="503"/>
      <c r="H2" s="503"/>
      <c r="I2" s="503"/>
      <c r="J2" s="503"/>
      <c r="K2" s="503"/>
      <c r="L2" s="503"/>
      <c r="M2" s="503"/>
    </row>
    <row r="3" spans="1:48" s="88" customFormat="1" ht="24.75" customHeight="1">
      <c r="A3" s="496" t="s">
        <v>1217</v>
      </c>
      <c r="B3" s="496"/>
      <c r="C3" s="493" t="s">
        <v>5449</v>
      </c>
      <c r="D3" s="493"/>
      <c r="E3" s="493"/>
      <c r="F3" s="493"/>
      <c r="G3" s="493"/>
      <c r="H3" s="493"/>
      <c r="I3" s="493"/>
      <c r="J3" s="493"/>
      <c r="K3" s="493"/>
      <c r="L3" s="493"/>
      <c r="M3" s="493"/>
    </row>
    <row r="4" spans="1:48" s="88" customFormat="1" ht="16.5" customHeight="1">
      <c r="A4" s="496" t="s">
        <v>5786</v>
      </c>
      <c r="B4" s="496"/>
      <c r="C4" s="497"/>
      <c r="D4" s="497"/>
      <c r="E4" s="497"/>
      <c r="F4" s="497"/>
      <c r="G4" s="497"/>
      <c r="H4" s="497"/>
      <c r="I4" s="497"/>
      <c r="J4" s="497"/>
      <c r="K4" s="497"/>
      <c r="L4" s="497"/>
      <c r="M4" s="497"/>
    </row>
    <row r="5" spans="1:48" s="88" customFormat="1" ht="16.5" customHeight="1">
      <c r="A5" s="496" t="s">
        <v>1220</v>
      </c>
      <c r="B5" s="496"/>
      <c r="C5" s="493" t="s">
        <v>5450</v>
      </c>
      <c r="D5" s="493"/>
      <c r="E5" s="493"/>
      <c r="F5" s="493"/>
      <c r="G5" s="493"/>
      <c r="H5" s="493"/>
      <c r="I5" s="493"/>
      <c r="J5" s="493"/>
      <c r="K5" s="493"/>
      <c r="L5" s="493"/>
      <c r="M5" s="493"/>
    </row>
    <row r="6" spans="1:48" s="88" customFormat="1" ht="16.5" customHeight="1">
      <c r="A6" s="496" t="s">
        <v>5785</v>
      </c>
      <c r="B6" s="496"/>
      <c r="C6" s="493" t="s">
        <v>5450</v>
      </c>
      <c r="D6" s="493"/>
      <c r="E6" s="493"/>
      <c r="F6" s="493"/>
      <c r="G6" s="493"/>
      <c r="H6" s="493"/>
      <c r="I6" s="493"/>
      <c r="J6" s="493"/>
      <c r="K6" s="493"/>
      <c r="L6" s="493"/>
      <c r="M6" s="493"/>
    </row>
    <row r="7" spans="1:48" s="88" customFormat="1" ht="16.5" customHeight="1">
      <c r="A7" s="89" t="s">
        <v>1223</v>
      </c>
      <c r="B7" s="92"/>
      <c r="C7" s="493" t="s">
        <v>2599</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5451</v>
      </c>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C16" s="104" t="s">
        <v>1238</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t="e">
        <f>NA()</f>
        <v>#N/A</v>
      </c>
      <c r="C17" s="108" t="s">
        <v>5452</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1177</v>
      </c>
      <c r="B100" s="498"/>
      <c r="C100" s="499"/>
      <c r="D100" s="87"/>
      <c r="E100" s="500" t="str">
        <f>HYPERLINK("#目录!A485","跳转回到目录页")</f>
        <v>跳转回到目录页</v>
      </c>
      <c r="F100" s="501"/>
    </row>
    <row r="101" spans="1:13" s="88" customFormat="1" ht="26.25" customHeight="1">
      <c r="A101" s="502" t="s">
        <v>1216</v>
      </c>
      <c r="B101" s="502"/>
      <c r="C101" s="503" t="s">
        <v>683</v>
      </c>
      <c r="D101" s="503"/>
      <c r="E101" s="503"/>
      <c r="F101" s="503"/>
      <c r="G101" s="503"/>
      <c r="H101" s="503"/>
      <c r="I101" s="503"/>
      <c r="J101" s="503"/>
      <c r="K101" s="503"/>
      <c r="L101" s="503"/>
      <c r="M101" s="503"/>
    </row>
    <row r="102" spans="1:13" s="88" customFormat="1" ht="16.5" customHeight="1">
      <c r="A102" s="496" t="s">
        <v>1217</v>
      </c>
      <c r="B102" s="496"/>
      <c r="C102" s="493" t="s">
        <v>5453</v>
      </c>
      <c r="D102" s="493"/>
      <c r="E102" s="493"/>
      <c r="F102" s="493"/>
      <c r="G102" s="493"/>
      <c r="H102" s="493"/>
      <c r="I102" s="493"/>
      <c r="J102" s="493"/>
      <c r="K102" s="493"/>
      <c r="L102" s="493"/>
      <c r="M102" s="493"/>
    </row>
    <row r="103" spans="1:13" s="88" customFormat="1" ht="16.5" customHeight="1">
      <c r="A103" s="496" t="s">
        <v>5786</v>
      </c>
      <c r="B103" s="496"/>
      <c r="C103" s="497" t="s">
        <v>683</v>
      </c>
      <c r="D103" s="497"/>
      <c r="E103" s="497"/>
      <c r="F103" s="497"/>
      <c r="G103" s="497"/>
      <c r="H103" s="497"/>
      <c r="I103" s="497"/>
      <c r="J103" s="497"/>
      <c r="K103" s="497"/>
      <c r="L103" s="497"/>
      <c r="M103" s="497"/>
    </row>
    <row r="104" spans="1:13" s="88" customFormat="1" ht="16.5" customHeight="1">
      <c r="A104" s="496" t="s">
        <v>1220</v>
      </c>
      <c r="B104" s="496"/>
      <c r="C104" s="493" t="s">
        <v>5454</v>
      </c>
      <c r="D104" s="493"/>
      <c r="E104" s="493"/>
      <c r="F104" s="493"/>
      <c r="G104" s="493"/>
      <c r="H104" s="493"/>
      <c r="I104" s="493"/>
      <c r="J104" s="493"/>
      <c r="K104" s="493"/>
      <c r="L104" s="493"/>
      <c r="M104" s="493"/>
    </row>
    <row r="105" spans="1:13" s="88" customFormat="1" ht="16.5" customHeight="1">
      <c r="A105" s="496" t="s">
        <v>5785</v>
      </c>
      <c r="B105" s="496"/>
      <c r="C105" s="493" t="s">
        <v>5455</v>
      </c>
      <c r="D105" s="493"/>
      <c r="E105" s="493"/>
      <c r="F105" s="493"/>
      <c r="G105" s="493"/>
      <c r="H105" s="493"/>
      <c r="I105" s="493"/>
      <c r="J105" s="493"/>
      <c r="K105" s="493"/>
      <c r="L105" s="493"/>
      <c r="M105" s="493"/>
    </row>
    <row r="106" spans="1:13" s="88" customFormat="1" ht="16.5" customHeight="1">
      <c r="A106" s="89" t="s">
        <v>1223</v>
      </c>
      <c r="B106" s="92" t="s">
        <v>3299</v>
      </c>
      <c r="C106" s="493" t="s">
        <v>5456</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5457</v>
      </c>
      <c r="C109" s="493"/>
      <c r="D109" s="493"/>
      <c r="E109" s="493"/>
      <c r="F109" s="493"/>
      <c r="G109" s="493"/>
      <c r="H109" s="493"/>
      <c r="I109" s="493"/>
      <c r="J109" s="493"/>
      <c r="K109" s="493"/>
      <c r="L109" s="493"/>
      <c r="M109" s="493"/>
    </row>
    <row r="110" spans="1:13" ht="24.75" customHeight="1">
      <c r="A110" s="89" t="s">
        <v>1229</v>
      </c>
      <c r="B110" s="673" t="s">
        <v>5458</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5" s="93" customFormat="1" ht="16.5" customHeight="1">
      <c r="A113" s="94" t="s">
        <v>1232</v>
      </c>
      <c r="B113" s="93" t="s">
        <v>1773</v>
      </c>
    </row>
    <row r="114" spans="1:5" ht="16.5" customHeight="1"/>
    <row r="115" spans="1:5" ht="16.5" customHeight="1"/>
    <row r="116" spans="1:5" ht="16.5" customHeight="1">
      <c r="B116" s="137" t="s">
        <v>5459</v>
      </c>
      <c r="C116" s="138" t="s">
        <v>5460</v>
      </c>
      <c r="D116" s="93"/>
    </row>
    <row r="117" spans="1:5" ht="16.5" customHeight="1">
      <c r="B117" s="99" t="s">
        <v>3633</v>
      </c>
      <c r="C117" s="101">
        <v>1</v>
      </c>
      <c r="D117" s="93"/>
    </row>
    <row r="118" spans="1:5" ht="16.5" customHeight="1">
      <c r="B118" s="99" t="s">
        <v>3088</v>
      </c>
      <c r="C118" s="101">
        <v>2</v>
      </c>
      <c r="D118" s="93"/>
    </row>
    <row r="119" spans="1:5" ht="16.5" customHeight="1">
      <c r="B119" s="99" t="s">
        <v>3628</v>
      </c>
      <c r="C119" s="101">
        <v>4</v>
      </c>
      <c r="D119" s="93"/>
    </row>
    <row r="120" spans="1:5" ht="16.5" customHeight="1">
      <c r="B120" s="99" t="s">
        <v>5461</v>
      </c>
      <c r="C120" s="101">
        <v>16</v>
      </c>
      <c r="D120" s="93"/>
    </row>
    <row r="121" spans="1:5" ht="16.5" customHeight="1">
      <c r="B121" s="105" t="s">
        <v>5462</v>
      </c>
      <c r="C121" s="107">
        <v>64</v>
      </c>
      <c r="D121" s="93"/>
    </row>
    <row r="122" spans="1:5" ht="16.5" customHeight="1"/>
    <row r="123" spans="1:5" ht="16.5" customHeight="1"/>
    <row r="124" spans="1:5" ht="16.5" customHeight="1">
      <c r="B124" s="518" t="s">
        <v>5463</v>
      </c>
      <c r="C124" s="518"/>
      <c r="D124" s="518"/>
      <c r="E124" s="104" t="s">
        <v>1238</v>
      </c>
    </row>
    <row r="125" spans="1:5" ht="16.5" customHeight="1">
      <c r="B125" s="93" t="s">
        <v>3630</v>
      </c>
      <c r="C125" s="93"/>
      <c r="D125" s="93">
        <f>TYPE(C125)</f>
        <v>1</v>
      </c>
      <c r="E125" s="108" t="s">
        <v>5464</v>
      </c>
    </row>
    <row r="126" spans="1:5" ht="16.5" customHeight="1">
      <c r="B126" s="147" t="s">
        <v>5407</v>
      </c>
      <c r="C126" s="93" t="str">
        <f>""</f>
        <v/>
      </c>
      <c r="D126" s="93">
        <f t="shared" ref="D126:D141" si="0">TYPE(C126)</f>
        <v>2</v>
      </c>
      <c r="E126" s="93"/>
    </row>
    <row r="127" spans="1:5" ht="16.5" customHeight="1">
      <c r="B127" s="93" t="s">
        <v>5410</v>
      </c>
      <c r="C127" s="93" t="s">
        <v>5411</v>
      </c>
      <c r="D127" s="93">
        <f t="shared" si="0"/>
        <v>2</v>
      </c>
      <c r="E127" s="93"/>
    </row>
    <row r="128" spans="1:5" ht="16.5" customHeight="1">
      <c r="B128" s="93" t="s">
        <v>3088</v>
      </c>
      <c r="C128" s="93" t="s">
        <v>1904</v>
      </c>
      <c r="D128" s="93">
        <f t="shared" si="0"/>
        <v>2</v>
      </c>
      <c r="E128" s="93"/>
    </row>
    <row r="129" spans="2:5" ht="16.5" customHeight="1">
      <c r="B129" s="93" t="s">
        <v>1371</v>
      </c>
      <c r="C129" s="148">
        <v>40834</v>
      </c>
      <c r="D129" s="93">
        <f t="shared" si="0"/>
        <v>1</v>
      </c>
      <c r="E129" s="93"/>
    </row>
    <row r="130" spans="2:5" ht="16.5" customHeight="1">
      <c r="B130" s="116" t="s">
        <v>5412</v>
      </c>
      <c r="C130" s="93" t="e">
        <f>1/0</f>
        <v>#DIV/0!</v>
      </c>
      <c r="D130" s="93">
        <f t="shared" si="0"/>
        <v>16</v>
      </c>
      <c r="E130" s="93"/>
    </row>
    <row r="131" spans="2:5" ht="16.5" customHeight="1">
      <c r="B131" s="93" t="s">
        <v>3632</v>
      </c>
      <c r="C131" s="93" t="e">
        <v>#VALUE!</v>
      </c>
      <c r="D131" s="93">
        <f t="shared" si="0"/>
        <v>16</v>
      </c>
      <c r="E131" s="93"/>
    </row>
    <row r="132" spans="2:5" ht="16.5" customHeight="1">
      <c r="B132" s="93" t="s">
        <v>3632</v>
      </c>
      <c r="C132" s="93" t="e">
        <v>#N/A</v>
      </c>
      <c r="D132" s="93">
        <f t="shared" si="0"/>
        <v>16</v>
      </c>
      <c r="E132" s="93"/>
    </row>
    <row r="133" spans="2:5" ht="16.5" customHeight="1">
      <c r="B133" s="93" t="s">
        <v>3632</v>
      </c>
      <c r="C133" s="93" t="e">
        <v>#REF!</v>
      </c>
      <c r="D133" s="93">
        <f t="shared" si="0"/>
        <v>16</v>
      </c>
      <c r="E133" s="93"/>
    </row>
    <row r="134" spans="2:5" ht="16.5" customHeight="1">
      <c r="B134" s="93" t="s">
        <v>3632</v>
      </c>
      <c r="C134" s="93" t="e">
        <v>#DIV/0!</v>
      </c>
      <c r="D134" s="93">
        <f t="shared" si="0"/>
        <v>16</v>
      </c>
      <c r="E134" s="93"/>
    </row>
    <row r="135" spans="2:5" ht="16.5" customHeight="1">
      <c r="B135" s="93" t="s">
        <v>3632</v>
      </c>
      <c r="C135" s="93" t="e">
        <v>#NUM!</v>
      </c>
      <c r="D135" s="93">
        <f t="shared" si="0"/>
        <v>16</v>
      </c>
      <c r="E135" s="93"/>
    </row>
    <row r="136" spans="2:5" ht="16.5" customHeight="1">
      <c r="B136" s="93" t="s">
        <v>3632</v>
      </c>
      <c r="C136" s="93" t="e">
        <v>#NAME?</v>
      </c>
      <c r="D136" s="93">
        <f t="shared" si="0"/>
        <v>16</v>
      </c>
      <c r="E136" s="93"/>
    </row>
    <row r="137" spans="2:5" ht="16.5" customHeight="1">
      <c r="B137" s="93" t="s">
        <v>3632</v>
      </c>
      <c r="C137" s="93" t="e">
        <v>#NULL!</v>
      </c>
      <c r="D137" s="93">
        <f t="shared" si="0"/>
        <v>16</v>
      </c>
      <c r="E137" s="93"/>
    </row>
    <row r="138" spans="2:5" ht="16.5" customHeight="1">
      <c r="B138" s="93" t="s">
        <v>2087</v>
      </c>
      <c r="C138" s="93">
        <v>6</v>
      </c>
      <c r="D138" s="93">
        <f t="shared" si="0"/>
        <v>1</v>
      </c>
      <c r="E138" s="93"/>
    </row>
    <row r="139" spans="2:5" ht="16.5" customHeight="1">
      <c r="B139" s="93" t="s">
        <v>2087</v>
      </c>
      <c r="C139" s="93">
        <v>7</v>
      </c>
      <c r="D139" s="93">
        <f t="shared" si="0"/>
        <v>1</v>
      </c>
      <c r="E139" s="93"/>
    </row>
    <row r="140" spans="2:5" ht="16.5" customHeight="1">
      <c r="B140" s="93" t="s">
        <v>3628</v>
      </c>
      <c r="C140" s="94" t="b">
        <v>1</v>
      </c>
      <c r="D140" s="93">
        <f t="shared" si="0"/>
        <v>4</v>
      </c>
      <c r="E140" s="93"/>
    </row>
    <row r="141" spans="2:5" ht="16.5" customHeight="1">
      <c r="B141" s="93" t="s">
        <v>3628</v>
      </c>
      <c r="C141" s="94" t="b">
        <v>0</v>
      </c>
      <c r="D141" s="93">
        <f t="shared" si="0"/>
        <v>4</v>
      </c>
      <c r="E141" s="93"/>
    </row>
    <row r="200" spans="1:13" s="88" customFormat="1" ht="26.25" customHeight="1">
      <c r="A200" s="498" t="s">
        <v>868</v>
      </c>
      <c r="B200" s="498"/>
      <c r="C200" s="499"/>
      <c r="D200" s="87"/>
      <c r="E200" s="500" t="str">
        <f>HYPERLINK("#目录!A486","跳转回到目录页")</f>
        <v>跳转回到目录页</v>
      </c>
      <c r="F200" s="501"/>
    </row>
    <row r="201" spans="1:13" s="88" customFormat="1" ht="26.25" customHeight="1">
      <c r="A201" s="502" t="s">
        <v>1216</v>
      </c>
      <c r="B201" s="502"/>
      <c r="C201" s="503" t="s">
        <v>684</v>
      </c>
      <c r="D201" s="503"/>
      <c r="E201" s="503"/>
      <c r="F201" s="503"/>
      <c r="G201" s="503"/>
      <c r="H201" s="503"/>
      <c r="I201" s="503"/>
      <c r="J201" s="503"/>
      <c r="K201" s="503"/>
      <c r="L201" s="503"/>
      <c r="M201" s="503"/>
    </row>
    <row r="202" spans="1:13" s="88" customFormat="1" ht="24.75" customHeight="1">
      <c r="A202" s="496" t="s">
        <v>1217</v>
      </c>
      <c r="B202" s="496"/>
      <c r="C202" s="493" t="s">
        <v>5465</v>
      </c>
      <c r="D202" s="493"/>
      <c r="E202" s="493"/>
      <c r="F202" s="493"/>
      <c r="G202" s="493"/>
      <c r="H202" s="493"/>
      <c r="I202" s="493"/>
      <c r="J202" s="493"/>
      <c r="K202" s="493"/>
      <c r="L202" s="493"/>
      <c r="M202" s="493"/>
    </row>
    <row r="203" spans="1:13" s="88" customFormat="1" ht="16.5" customHeight="1">
      <c r="A203" s="496" t="s">
        <v>5786</v>
      </c>
      <c r="B203" s="496"/>
      <c r="C203" s="497" t="s">
        <v>684</v>
      </c>
      <c r="D203" s="497"/>
      <c r="E203" s="497"/>
      <c r="F203" s="497"/>
      <c r="G203" s="497"/>
      <c r="H203" s="497"/>
      <c r="I203" s="497"/>
      <c r="J203" s="497"/>
      <c r="K203" s="497"/>
      <c r="L203" s="497"/>
      <c r="M203" s="497"/>
    </row>
    <row r="204" spans="1:13" s="88" customFormat="1" ht="16.5" customHeight="1">
      <c r="A204" s="496" t="s">
        <v>1220</v>
      </c>
      <c r="B204" s="496"/>
      <c r="C204" s="493" t="s">
        <v>5466</v>
      </c>
      <c r="D204" s="493"/>
      <c r="E204" s="493"/>
      <c r="F204" s="493"/>
      <c r="G204" s="493"/>
      <c r="H204" s="493"/>
      <c r="I204" s="493"/>
      <c r="J204" s="493"/>
      <c r="K204" s="493"/>
      <c r="L204" s="493"/>
      <c r="M204" s="493"/>
    </row>
    <row r="205" spans="1:13" s="88" customFormat="1" ht="16.5" customHeight="1">
      <c r="A205" s="496" t="s">
        <v>5785</v>
      </c>
      <c r="B205" s="496"/>
      <c r="C205" s="493" t="s">
        <v>5467</v>
      </c>
      <c r="D205" s="493"/>
      <c r="E205" s="493"/>
      <c r="F205" s="493"/>
      <c r="G205" s="493"/>
      <c r="H205" s="493"/>
      <c r="I205" s="493"/>
      <c r="J205" s="493"/>
      <c r="K205" s="493"/>
      <c r="L205" s="493"/>
      <c r="M205" s="493"/>
    </row>
    <row r="206" spans="1:13" s="88" customFormat="1" ht="16.5" customHeight="1">
      <c r="A206" s="89" t="s">
        <v>1223</v>
      </c>
      <c r="B206" s="92" t="s">
        <v>5468</v>
      </c>
      <c r="C206" s="493" t="s">
        <v>5469</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673"/>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row r="216" spans="1:13" ht="16.5" customHeight="1">
      <c r="B216" s="116" t="s">
        <v>5470</v>
      </c>
      <c r="C216" s="93" t="s">
        <v>5471</v>
      </c>
      <c r="D216" s="93"/>
    </row>
    <row r="217" spans="1:13" ht="16.5" customHeight="1">
      <c r="B217" s="93" t="e">
        <v>#NULL!</v>
      </c>
      <c r="C217" s="93">
        <v>1</v>
      </c>
      <c r="D217" s="93"/>
    </row>
    <row r="218" spans="1:13" ht="16.5" customHeight="1">
      <c r="B218" s="93" t="e">
        <v>#DIV/0!</v>
      </c>
      <c r="C218" s="93">
        <v>2</v>
      </c>
      <c r="D218" s="93"/>
    </row>
    <row r="219" spans="1:13" ht="16.5" customHeight="1">
      <c r="B219" s="93" t="e">
        <v>#VALUE!</v>
      </c>
      <c r="C219" s="93">
        <v>3</v>
      </c>
      <c r="D219" s="93"/>
    </row>
    <row r="220" spans="1:13" ht="16.5" customHeight="1">
      <c r="B220" s="93" t="e">
        <v>#REF!</v>
      </c>
      <c r="C220" s="93">
        <v>4</v>
      </c>
      <c r="D220" s="93"/>
    </row>
    <row r="221" spans="1:13" ht="16.5" customHeight="1">
      <c r="B221" s="93" t="e">
        <v>#NAME?</v>
      </c>
      <c r="C221" s="93">
        <v>5</v>
      </c>
      <c r="D221" s="93"/>
    </row>
    <row r="222" spans="1:13" ht="16.5" customHeight="1">
      <c r="B222" s="93" t="e">
        <v>#NUM!</v>
      </c>
      <c r="C222" s="93">
        <v>6</v>
      </c>
      <c r="D222" s="93"/>
    </row>
    <row r="223" spans="1:13" ht="16.5" customHeight="1">
      <c r="B223" s="93" t="e">
        <v>#N/A</v>
      </c>
      <c r="C223" s="93">
        <v>7</v>
      </c>
      <c r="D223" s="93"/>
    </row>
    <row r="224" spans="1:13" ht="16.5" customHeight="1">
      <c r="B224" s="93" t="s">
        <v>5472</v>
      </c>
      <c r="C224" s="93" t="e">
        <v>#N/A</v>
      </c>
      <c r="D224" s="93"/>
    </row>
    <row r="225" spans="2:5" ht="16.5" customHeight="1"/>
    <row r="226" spans="2:5" ht="16.5" customHeight="1"/>
    <row r="227" spans="2:5" ht="16.5" customHeight="1">
      <c r="B227" s="518" t="s">
        <v>5463</v>
      </c>
      <c r="C227" s="518"/>
      <c r="D227" s="518"/>
      <c r="E227" s="104" t="s">
        <v>1238</v>
      </c>
    </row>
    <row r="228" spans="2:5" ht="16.5" customHeight="1">
      <c r="B228" s="93" t="s">
        <v>3630</v>
      </c>
      <c r="C228" s="93"/>
      <c r="D228" s="93" t="e">
        <f>ERROR.TYPE(C228)</f>
        <v>#N/A</v>
      </c>
      <c r="E228" s="108" t="s">
        <v>5473</v>
      </c>
    </row>
    <row r="229" spans="2:5" ht="16.5" customHeight="1">
      <c r="B229" s="147" t="s">
        <v>5407</v>
      </c>
      <c r="C229" s="93" t="str">
        <f>""</f>
        <v/>
      </c>
      <c r="D229" s="93" t="e">
        <f t="shared" ref="D229:D244" si="1">ERROR.TYPE(C229)</f>
        <v>#N/A</v>
      </c>
      <c r="E229" s="93"/>
    </row>
    <row r="230" spans="2:5" ht="16.5" customHeight="1">
      <c r="B230" s="93" t="s">
        <v>5410</v>
      </c>
      <c r="C230" s="93" t="s">
        <v>5411</v>
      </c>
      <c r="D230" s="93" t="e">
        <f t="shared" si="1"/>
        <v>#N/A</v>
      </c>
      <c r="E230" s="93"/>
    </row>
    <row r="231" spans="2:5" ht="16.5" customHeight="1">
      <c r="B231" s="93" t="s">
        <v>3088</v>
      </c>
      <c r="C231" s="93" t="s">
        <v>1904</v>
      </c>
      <c r="D231" s="93" t="e">
        <f t="shared" si="1"/>
        <v>#N/A</v>
      </c>
      <c r="E231" s="93"/>
    </row>
    <row r="232" spans="2:5" ht="16.5" customHeight="1">
      <c r="B232" s="93" t="s">
        <v>1371</v>
      </c>
      <c r="C232" s="148">
        <v>40834</v>
      </c>
      <c r="D232" s="93" t="e">
        <f t="shared" si="1"/>
        <v>#N/A</v>
      </c>
      <c r="E232" s="93"/>
    </row>
    <row r="233" spans="2:5" ht="16.5" customHeight="1">
      <c r="B233" s="116" t="s">
        <v>5412</v>
      </c>
      <c r="C233" s="93" t="e">
        <f>1/0</f>
        <v>#DIV/0!</v>
      </c>
      <c r="D233" s="93">
        <f t="shared" si="1"/>
        <v>2</v>
      </c>
      <c r="E233" s="93"/>
    </row>
    <row r="234" spans="2:5" ht="16.5" customHeight="1">
      <c r="B234" s="93" t="s">
        <v>3632</v>
      </c>
      <c r="C234" s="93" t="e">
        <v>#VALUE!</v>
      </c>
      <c r="D234" s="93">
        <f t="shared" si="1"/>
        <v>3</v>
      </c>
      <c r="E234" s="93"/>
    </row>
    <row r="235" spans="2:5" ht="16.5" customHeight="1">
      <c r="B235" s="93" t="s">
        <v>3632</v>
      </c>
      <c r="C235" s="93" t="e">
        <v>#N/A</v>
      </c>
      <c r="D235" s="93">
        <f t="shared" si="1"/>
        <v>7</v>
      </c>
      <c r="E235" s="93"/>
    </row>
    <row r="236" spans="2:5" ht="16.5" customHeight="1">
      <c r="B236" s="93" t="s">
        <v>3632</v>
      </c>
      <c r="C236" s="93" t="e">
        <v>#REF!</v>
      </c>
      <c r="D236" s="93">
        <f t="shared" si="1"/>
        <v>4</v>
      </c>
      <c r="E236" s="93"/>
    </row>
    <row r="237" spans="2:5" ht="16.5" customHeight="1">
      <c r="B237" s="93" t="s">
        <v>3632</v>
      </c>
      <c r="C237" s="93" t="e">
        <v>#DIV/0!</v>
      </c>
      <c r="D237" s="93">
        <f t="shared" si="1"/>
        <v>2</v>
      </c>
      <c r="E237" s="93"/>
    </row>
    <row r="238" spans="2:5" ht="16.5" customHeight="1">
      <c r="B238" s="93" t="s">
        <v>3632</v>
      </c>
      <c r="C238" s="93" t="e">
        <v>#NUM!</v>
      </c>
      <c r="D238" s="93">
        <f t="shared" si="1"/>
        <v>6</v>
      </c>
      <c r="E238" s="93"/>
    </row>
    <row r="239" spans="2:5" ht="16.5" customHeight="1">
      <c r="B239" s="93" t="s">
        <v>3632</v>
      </c>
      <c r="C239" s="93" t="e">
        <v>#NAME?</v>
      </c>
      <c r="D239" s="93">
        <f t="shared" si="1"/>
        <v>5</v>
      </c>
      <c r="E239" s="93"/>
    </row>
    <row r="240" spans="2:5" ht="16.5" customHeight="1">
      <c r="B240" s="93" t="s">
        <v>3632</v>
      </c>
      <c r="C240" s="93" t="e">
        <v>#NULL!</v>
      </c>
      <c r="D240" s="93">
        <f t="shared" si="1"/>
        <v>1</v>
      </c>
      <c r="E240" s="93"/>
    </row>
    <row r="241" spans="2:5">
      <c r="B241" s="93" t="s">
        <v>2087</v>
      </c>
      <c r="C241" s="93">
        <v>6</v>
      </c>
      <c r="D241" s="93" t="e">
        <f t="shared" si="1"/>
        <v>#N/A</v>
      </c>
      <c r="E241" s="93"/>
    </row>
    <row r="242" spans="2:5">
      <c r="B242" s="93" t="s">
        <v>2087</v>
      </c>
      <c r="C242" s="93">
        <v>7</v>
      </c>
      <c r="D242" s="93" t="e">
        <f t="shared" si="1"/>
        <v>#N/A</v>
      </c>
      <c r="E242" s="93"/>
    </row>
    <row r="243" spans="2:5">
      <c r="B243" s="93" t="s">
        <v>3628</v>
      </c>
      <c r="C243" s="94" t="b">
        <v>1</v>
      </c>
      <c r="D243" s="93" t="e">
        <f t="shared" si="1"/>
        <v>#N/A</v>
      </c>
      <c r="E243" s="93"/>
    </row>
    <row r="244" spans="2:5">
      <c r="B244" s="93" t="s">
        <v>3628</v>
      </c>
      <c r="C244" s="94" t="b">
        <v>0</v>
      </c>
      <c r="D244" s="93" t="e">
        <f t="shared" si="1"/>
        <v>#N/A</v>
      </c>
      <c r="E244" s="93"/>
    </row>
  </sheetData>
  <mergeCells count="5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24:D124"/>
    <mergeCell ref="A200:C200"/>
    <mergeCell ref="E200:F200"/>
    <mergeCell ref="A201:B201"/>
    <mergeCell ref="C201:M201"/>
    <mergeCell ref="A203:B203"/>
    <mergeCell ref="C203:M203"/>
    <mergeCell ref="A204:B204"/>
    <mergeCell ref="C204:M204"/>
    <mergeCell ref="A205:B205"/>
    <mergeCell ref="C205:M205"/>
    <mergeCell ref="B227:D227"/>
    <mergeCell ref="C206:M206"/>
    <mergeCell ref="C207:M207"/>
    <mergeCell ref="C208:M208"/>
    <mergeCell ref="B209:M209"/>
    <mergeCell ref="B210:M210"/>
    <mergeCell ref="B211:L211"/>
  </mergeCells>
  <phoneticPr fontId="2" type="noConversion"/>
  <pageMargins left="0.75" right="0.75" top="1" bottom="1" header="0.5" footer="0.5"/>
  <headerFooter scaleWithDoc="0"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4"/>
  <dimension ref="A1:AV63"/>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766</v>
      </c>
      <c r="B1" s="498"/>
      <c r="C1" s="499"/>
      <c r="D1" s="87"/>
      <c r="E1" s="500" t="str">
        <f>HYPERLINK("#目录!A488","跳转回到目录页")</f>
        <v>跳转回到目录页</v>
      </c>
      <c r="F1" s="501"/>
    </row>
    <row r="2" spans="1:48" s="88" customFormat="1" ht="26.25" customHeight="1">
      <c r="A2" s="502" t="s">
        <v>1216</v>
      </c>
      <c r="B2" s="502"/>
      <c r="C2" s="503" t="s">
        <v>685</v>
      </c>
      <c r="D2" s="503"/>
      <c r="E2" s="503"/>
      <c r="F2" s="503"/>
      <c r="G2" s="503"/>
      <c r="H2" s="503"/>
      <c r="I2" s="503"/>
      <c r="J2" s="503"/>
      <c r="K2" s="503"/>
      <c r="L2" s="503"/>
      <c r="M2" s="503"/>
    </row>
    <row r="3" spans="1:48" s="88" customFormat="1" ht="16.5" customHeight="1">
      <c r="A3" s="496" t="s">
        <v>1217</v>
      </c>
      <c r="B3" s="496"/>
      <c r="C3" s="493" t="s">
        <v>5474</v>
      </c>
      <c r="D3" s="493"/>
      <c r="E3" s="493"/>
      <c r="F3" s="493"/>
      <c r="G3" s="493"/>
      <c r="H3" s="493"/>
      <c r="I3" s="493"/>
      <c r="J3" s="493"/>
      <c r="K3" s="493"/>
      <c r="L3" s="493"/>
      <c r="M3" s="493"/>
    </row>
    <row r="4" spans="1:48" s="88" customFormat="1" ht="16.5" customHeight="1">
      <c r="A4" s="496" t="s">
        <v>5786</v>
      </c>
      <c r="B4" s="496"/>
      <c r="C4" s="497" t="s">
        <v>685</v>
      </c>
      <c r="D4" s="497"/>
      <c r="E4" s="497"/>
      <c r="F4" s="497"/>
      <c r="G4" s="497"/>
      <c r="H4" s="497"/>
      <c r="I4" s="497"/>
      <c r="J4" s="497"/>
      <c r="K4" s="497"/>
      <c r="L4" s="497"/>
      <c r="M4" s="497"/>
    </row>
    <row r="5" spans="1:48" s="88" customFormat="1" ht="16.5" customHeight="1">
      <c r="A5" s="496" t="s">
        <v>1220</v>
      </c>
      <c r="B5" s="496"/>
      <c r="C5" s="493" t="s">
        <v>5475</v>
      </c>
      <c r="D5" s="493"/>
      <c r="E5" s="493"/>
      <c r="F5" s="493"/>
      <c r="G5" s="493"/>
      <c r="H5" s="493"/>
      <c r="I5" s="493"/>
      <c r="J5" s="493"/>
      <c r="K5" s="493"/>
      <c r="L5" s="493"/>
      <c r="M5" s="493"/>
    </row>
    <row r="6" spans="1:48" s="88" customFormat="1" ht="16.5" customHeight="1">
      <c r="A6" s="496" t="s">
        <v>5785</v>
      </c>
      <c r="B6" s="496"/>
      <c r="C6" s="493" t="s">
        <v>5476</v>
      </c>
      <c r="D6" s="493"/>
      <c r="E6" s="493"/>
      <c r="F6" s="493"/>
      <c r="G6" s="493"/>
      <c r="H6" s="493"/>
      <c r="I6" s="493"/>
      <c r="J6" s="493"/>
      <c r="K6" s="493"/>
      <c r="L6" s="493"/>
      <c r="M6" s="493"/>
    </row>
    <row r="7" spans="1:48" s="88" customFormat="1" ht="16.5" customHeight="1">
      <c r="A7" s="89" t="s">
        <v>1223</v>
      </c>
      <c r="B7" s="92" t="s">
        <v>5477</v>
      </c>
      <c r="C7" s="493" t="s">
        <v>5478</v>
      </c>
      <c r="D7" s="493"/>
      <c r="E7" s="493"/>
      <c r="F7" s="493"/>
      <c r="G7" s="493"/>
      <c r="H7" s="493"/>
      <c r="I7" s="493"/>
      <c r="J7" s="493"/>
      <c r="K7" s="493"/>
      <c r="L7" s="493"/>
      <c r="M7" s="493"/>
    </row>
    <row r="8" spans="1:48" s="88" customFormat="1" ht="24.75" customHeight="1">
      <c r="A8" s="89"/>
      <c r="B8" s="92" t="s">
        <v>2835</v>
      </c>
      <c r="C8" s="493" t="s">
        <v>5479</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673" t="s">
        <v>5480</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42" t="s">
        <v>5477</v>
      </c>
      <c r="C17" s="143" t="s">
        <v>5481</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6" t="s">
        <v>5482</v>
      </c>
      <c r="C18" s="93" t="s">
        <v>5483</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6" t="s">
        <v>5484</v>
      </c>
      <c r="C19" s="93" t="s">
        <v>5485</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6" t="s">
        <v>5486</v>
      </c>
      <c r="C20" s="93" t="s">
        <v>5487</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6" t="s">
        <v>5488</v>
      </c>
      <c r="C21" s="93" t="s">
        <v>5489</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6" t="s">
        <v>5490</v>
      </c>
      <c r="C22" s="93" t="s">
        <v>5491</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6" t="s">
        <v>5492</v>
      </c>
      <c r="C23" s="93" t="s">
        <v>5493</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6" t="s">
        <v>5494</v>
      </c>
      <c r="C24" s="93" t="s">
        <v>5495</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6" t="s">
        <v>5496</v>
      </c>
      <c r="C25" s="93" t="s">
        <v>5497</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6" t="s">
        <v>5498</v>
      </c>
      <c r="C26" s="93" t="s">
        <v>5499</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6" t="s">
        <v>5500</v>
      </c>
      <c r="C27" s="93" t="s">
        <v>5501</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6" t="s">
        <v>5502</v>
      </c>
      <c r="C28" s="93" t="s">
        <v>5503</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6" t="s">
        <v>5504</v>
      </c>
      <c r="C29" s="93" t="s">
        <v>5505</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143"/>
      <c r="C32" s="142" t="s">
        <v>5506</v>
      </c>
      <c r="D32" s="143" t="s">
        <v>5507</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C33" s="116" t="s">
        <v>5508</v>
      </c>
      <c r="D33" s="93" t="s">
        <v>5370</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C34" s="116">
        <v>0</v>
      </c>
      <c r="D34" s="93" t="s">
        <v>5509</v>
      </c>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C35" s="116" t="s">
        <v>5510</v>
      </c>
      <c r="D35" s="93" t="s">
        <v>5511</v>
      </c>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C36" s="116">
        <v>0</v>
      </c>
      <c r="D36" s="93" t="s">
        <v>5512</v>
      </c>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C37" s="116" t="s">
        <v>5513</v>
      </c>
      <c r="D37" s="93" t="s">
        <v>5514</v>
      </c>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C38" s="116" t="s">
        <v>5515</v>
      </c>
      <c r="D38" s="93" t="s">
        <v>5516</v>
      </c>
      <c r="F38" s="93" t="s">
        <v>3592</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C39" s="116" t="s">
        <v>5517</v>
      </c>
      <c r="D39" s="93" t="s">
        <v>5518</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C40" s="116" t="s">
        <v>5519</v>
      </c>
      <c r="D40" s="93" t="s">
        <v>5520</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C41" s="116" t="s">
        <v>5521</v>
      </c>
      <c r="D41" s="93" t="s">
        <v>5522</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C42" s="144">
        <v>0</v>
      </c>
      <c r="D42" s="93" t="s">
        <v>5523</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C43" s="145">
        <v>0</v>
      </c>
      <c r="D43" s="93" t="s">
        <v>5524</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C44" s="146">
        <v>0</v>
      </c>
      <c r="D44" s="93" t="s">
        <v>5525</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C45" s="116" t="s">
        <v>5526</v>
      </c>
      <c r="D45" s="93" t="s">
        <v>5370</v>
      </c>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C46" s="116" t="s">
        <v>5527</v>
      </c>
      <c r="D46" s="93" t="s">
        <v>5528</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C47" s="116" t="s">
        <v>5529</v>
      </c>
      <c r="D47" s="93" t="s">
        <v>5530</v>
      </c>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ht="16.5" customHeight="1">
      <c r="A48" s="93"/>
      <c r="C48" s="116" t="s">
        <v>5531</v>
      </c>
      <c r="D48" s="93" t="s">
        <v>5532</v>
      </c>
      <c r="E48" s="93"/>
      <c r="H48" s="93"/>
      <c r="I48" s="93"/>
      <c r="J48" s="93"/>
      <c r="K48" s="93"/>
      <c r="L48" s="93"/>
      <c r="M48" s="93"/>
    </row>
    <row r="49" spans="1:8" ht="16.5" customHeight="1">
      <c r="C49" s="116" t="s">
        <v>5533</v>
      </c>
      <c r="D49" s="93" t="s">
        <v>5534</v>
      </c>
    </row>
    <row r="50" spans="1:8" ht="16.5" customHeight="1">
      <c r="C50" s="116" t="s">
        <v>5535</v>
      </c>
      <c r="D50" s="93" t="s">
        <v>5536</v>
      </c>
    </row>
    <row r="51" spans="1:8" ht="16.5" customHeight="1">
      <c r="C51" s="116" t="s">
        <v>5537</v>
      </c>
      <c r="D51" s="93" t="s">
        <v>5538</v>
      </c>
    </row>
    <row r="52" spans="1:8" ht="16.5" customHeight="1">
      <c r="C52" s="116" t="s">
        <v>5539</v>
      </c>
      <c r="D52" s="93" t="s">
        <v>5540</v>
      </c>
    </row>
    <row r="53" spans="1:8" ht="16.5" customHeight="1">
      <c r="C53" s="116" t="s">
        <v>5541</v>
      </c>
      <c r="D53" s="93" t="s">
        <v>5542</v>
      </c>
    </row>
    <row r="54" spans="1:8" ht="16.5" customHeight="1">
      <c r="C54" s="116" t="s">
        <v>5543</v>
      </c>
      <c r="D54" s="93" t="s">
        <v>5544</v>
      </c>
    </row>
    <row r="55" spans="1:8" ht="16.5" customHeight="1">
      <c r="A55" s="93"/>
      <c r="B55" s="93"/>
      <c r="C55" s="93"/>
      <c r="D55" s="93"/>
      <c r="E55" s="93"/>
      <c r="F55" s="93"/>
      <c r="G55" s="93"/>
      <c r="H55" s="93"/>
    </row>
    <row r="56" spans="1:8" ht="16.5" customHeight="1">
      <c r="A56" s="93"/>
      <c r="B56" s="91"/>
      <c r="C56" s="93"/>
      <c r="D56" s="104" t="s">
        <v>1238</v>
      </c>
      <c r="E56" s="93"/>
      <c r="F56" s="93" t="s">
        <v>27</v>
      </c>
      <c r="G56" s="93"/>
      <c r="H56" s="93"/>
    </row>
    <row r="57" spans="1:8" ht="16.5" customHeight="1">
      <c r="A57" s="93"/>
      <c r="B57" s="116" t="s">
        <v>1861</v>
      </c>
      <c r="C57" s="116" t="str">
        <f ca="1">CELL("prefix",B57)</f>
        <v>"</v>
      </c>
      <c r="D57" s="108" t="s">
        <v>5545</v>
      </c>
      <c r="F57" s="93" t="s">
        <v>5546</v>
      </c>
      <c r="G57" s="93"/>
      <c r="H57" s="93"/>
    </row>
    <row r="58" spans="1:8" ht="16.5" customHeight="1">
      <c r="A58" s="93"/>
      <c r="B58" s="93" t="s">
        <v>1904</v>
      </c>
      <c r="C58" s="116" t="str">
        <f ca="1">CELL("prefix",B58)</f>
        <v>'</v>
      </c>
      <c r="D58" s="93"/>
      <c r="F58" s="93"/>
      <c r="G58" s="93"/>
      <c r="H58" s="93"/>
    </row>
    <row r="59" spans="1:8" ht="16.5" customHeight="1">
      <c r="A59" s="93"/>
      <c r="B59" s="94" t="s">
        <v>1904</v>
      </c>
      <c r="C59" s="116" t="str">
        <f ca="1">CELL("prefix",B59)</f>
        <v>^</v>
      </c>
      <c r="D59" s="93"/>
      <c r="E59" s="93"/>
      <c r="F59" s="93"/>
      <c r="G59" s="93"/>
      <c r="H59" s="93"/>
    </row>
    <row r="60" spans="1:8" ht="16.5" customHeight="1">
      <c r="A60" s="93"/>
      <c r="B60" s="93"/>
      <c r="C60" s="93"/>
      <c r="D60" s="93"/>
      <c r="E60" s="93"/>
      <c r="F60" s="93"/>
      <c r="G60" s="93"/>
      <c r="H60" s="93"/>
    </row>
    <row r="61" spans="1:8" ht="16.5" customHeight="1">
      <c r="A61" s="93"/>
      <c r="B61" s="93"/>
      <c r="C61" s="93"/>
      <c r="D61" s="93"/>
      <c r="E61" s="93"/>
      <c r="F61" s="93"/>
      <c r="G61" s="93"/>
      <c r="H61" s="93"/>
    </row>
    <row r="62" spans="1:8" ht="16.5" customHeight="1">
      <c r="A62" s="93"/>
      <c r="B62" s="93"/>
      <c r="C62" s="93"/>
      <c r="D62" s="93"/>
      <c r="E62" s="93"/>
      <c r="F62" s="93"/>
      <c r="G62" s="93"/>
      <c r="H62" s="93"/>
    </row>
    <row r="63" spans="1:8" ht="16.5" customHeight="1">
      <c r="A63" s="93"/>
      <c r="B63" s="93"/>
      <c r="C63" s="93"/>
      <c r="D63" s="93"/>
      <c r="E63" s="93"/>
      <c r="F63" s="93"/>
      <c r="G63" s="93"/>
      <c r="H63" s="93"/>
    </row>
  </sheetData>
  <mergeCells count="18">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s>
  <phoneticPr fontId="2" type="noConversion"/>
  <pageMargins left="0.75" right="0.75" top="1" bottom="1" header="0.5" footer="0.5"/>
  <headerFooter scaleWithDoc="0"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5"/>
  <dimension ref="A1:AV4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687</v>
      </c>
      <c r="B1" s="498"/>
      <c r="C1" s="499"/>
      <c r="D1" s="87"/>
      <c r="E1" s="500" t="str">
        <f>HYPERLINK("#目录!A490","跳转回到目录页")</f>
        <v>跳转回到目录页</v>
      </c>
      <c r="F1" s="501"/>
    </row>
    <row r="2" spans="1:48" s="88" customFormat="1" ht="26.25" customHeight="1">
      <c r="A2" s="502" t="s">
        <v>1216</v>
      </c>
      <c r="B2" s="502"/>
      <c r="C2" s="503" t="s">
        <v>688</v>
      </c>
      <c r="D2" s="503"/>
      <c r="E2" s="503"/>
      <c r="F2" s="503"/>
      <c r="G2" s="503"/>
      <c r="H2" s="503"/>
      <c r="I2" s="503"/>
      <c r="J2" s="503"/>
      <c r="K2" s="503"/>
      <c r="L2" s="503"/>
      <c r="M2" s="503"/>
    </row>
    <row r="3" spans="1:48" s="88" customFormat="1" ht="16.5" customHeight="1">
      <c r="A3" s="496" t="s">
        <v>1217</v>
      </c>
      <c r="B3" s="496"/>
      <c r="C3" s="493" t="s">
        <v>5547</v>
      </c>
      <c r="D3" s="493"/>
      <c r="E3" s="493"/>
      <c r="F3" s="493"/>
      <c r="G3" s="493"/>
      <c r="H3" s="493"/>
      <c r="I3" s="493"/>
      <c r="J3" s="493"/>
      <c r="K3" s="493"/>
      <c r="L3" s="493"/>
      <c r="M3" s="493"/>
    </row>
    <row r="4" spans="1:48" s="88" customFormat="1" ht="16.5" customHeight="1">
      <c r="A4" s="496" t="s">
        <v>5786</v>
      </c>
      <c r="B4" s="496"/>
      <c r="C4" s="497" t="s">
        <v>688</v>
      </c>
      <c r="D4" s="497"/>
      <c r="E4" s="497"/>
      <c r="F4" s="497"/>
      <c r="G4" s="497"/>
      <c r="H4" s="497"/>
      <c r="I4" s="497"/>
      <c r="J4" s="497"/>
      <c r="K4" s="497"/>
      <c r="L4" s="497"/>
      <c r="M4" s="497"/>
    </row>
    <row r="5" spans="1:48" s="88" customFormat="1" ht="16.5" customHeight="1">
      <c r="A5" s="496" t="s">
        <v>1220</v>
      </c>
      <c r="B5" s="496"/>
      <c r="C5" s="493" t="s">
        <v>5548</v>
      </c>
      <c r="D5" s="493"/>
      <c r="E5" s="493"/>
      <c r="F5" s="493"/>
      <c r="G5" s="493"/>
      <c r="H5" s="493"/>
      <c r="I5" s="493"/>
      <c r="J5" s="493"/>
      <c r="K5" s="493"/>
      <c r="L5" s="493"/>
      <c r="M5" s="493"/>
    </row>
    <row r="6" spans="1:48" s="88" customFormat="1" ht="16.5" customHeight="1">
      <c r="A6" s="496" t="s">
        <v>5785</v>
      </c>
      <c r="B6" s="496"/>
      <c r="C6" s="493" t="s">
        <v>5549</v>
      </c>
      <c r="D6" s="493"/>
      <c r="E6" s="493"/>
      <c r="F6" s="493"/>
      <c r="G6" s="493"/>
      <c r="H6" s="493"/>
      <c r="I6" s="493"/>
      <c r="J6" s="493"/>
      <c r="K6" s="493"/>
      <c r="L6" s="493"/>
      <c r="M6" s="493"/>
    </row>
    <row r="7" spans="1:48" s="88" customFormat="1" ht="16.5" customHeight="1">
      <c r="A7" s="89" t="s">
        <v>1223</v>
      </c>
      <c r="B7" s="92" t="s">
        <v>3299</v>
      </c>
      <c r="C7" s="493" t="s">
        <v>5550</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39" customHeight="1">
      <c r="A10" s="89" t="s">
        <v>1228</v>
      </c>
      <c r="B10" s="493" t="s">
        <v>5551</v>
      </c>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t="s">
        <v>5552</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D19" s="137" t="s">
        <v>5553</v>
      </c>
      <c r="E19" s="138" t="s">
        <v>5554</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D20" s="139" t="s">
        <v>3633</v>
      </c>
      <c r="E20" s="101" t="s">
        <v>5555</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D21" s="139" t="s">
        <v>5556</v>
      </c>
      <c r="E21" s="101" t="s">
        <v>5557</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D22" s="139" t="b">
        <v>1</v>
      </c>
      <c r="E22" s="101">
        <v>1</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D23" s="139" t="b">
        <v>0</v>
      </c>
      <c r="E23" s="101">
        <v>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D24" s="139" t="s">
        <v>5558</v>
      </c>
      <c r="E24" s="101" t="s">
        <v>3632</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D25" s="140" t="s">
        <v>5472</v>
      </c>
      <c r="E25" s="107">
        <v>0</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5" t="s">
        <v>2288</v>
      </c>
      <c r="C28" s="97" t="s">
        <v>1431</v>
      </c>
      <c r="D28" s="104" t="s">
        <v>1238</v>
      </c>
      <c r="E28" s="93" t="s">
        <v>4885</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99">
        <v>7</v>
      </c>
      <c r="C29" s="101">
        <f>N(B29)</f>
        <v>7</v>
      </c>
      <c r="D29" s="108" t="s">
        <v>5559</v>
      </c>
      <c r="E29" s="93" t="s">
        <v>5560</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99" t="s">
        <v>5561</v>
      </c>
      <c r="C30" s="101">
        <f>N(B30)</f>
        <v>0</v>
      </c>
      <c r="E30" s="93" t="s">
        <v>5562</v>
      </c>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99" t="b">
        <v>1</v>
      </c>
      <c r="C31" s="101">
        <f>N(B31)</f>
        <v>1</v>
      </c>
      <c r="E31" s="93" t="s">
        <v>5563</v>
      </c>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141">
        <v>39555</v>
      </c>
      <c r="C32" s="101">
        <f>N(B32)</f>
        <v>39555</v>
      </c>
      <c r="E32" s="93" t="s">
        <v>5564</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B33" s="105"/>
      <c r="C33" s="107">
        <f>N("7")</f>
        <v>0</v>
      </c>
      <c r="E33" s="93" t="s">
        <v>5565</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sheetData>
  <mergeCells count="18">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s>
  <phoneticPr fontId="2" type="noConversion"/>
  <pageMargins left="0.75" right="0.75" top="1" bottom="1" header="0.5" footer="0.5"/>
  <pageSetup paperSize="9" orientation="portrait" horizontalDpi="0" verticalDpi="0"/>
  <headerFooter scaleWithDoc="0"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6"/>
  <dimension ref="A1:AV4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962</v>
      </c>
      <c r="B1" s="498"/>
      <c r="C1" s="499"/>
      <c r="D1" s="87"/>
      <c r="E1" s="500" t="str">
        <f>HYPERLINK("#目录!A492","跳转回到目录页")</f>
        <v>跳转回到目录页</v>
      </c>
      <c r="F1" s="501"/>
    </row>
    <row r="2" spans="1:48" s="88" customFormat="1" ht="26.25" customHeight="1">
      <c r="A2" s="502" t="s">
        <v>1216</v>
      </c>
      <c r="B2" s="502"/>
      <c r="C2" s="503" t="s">
        <v>690</v>
      </c>
      <c r="D2" s="503"/>
      <c r="E2" s="503"/>
      <c r="F2" s="503"/>
      <c r="G2" s="503"/>
      <c r="H2" s="503"/>
      <c r="I2" s="503"/>
      <c r="J2" s="503"/>
      <c r="K2" s="503"/>
      <c r="L2" s="503"/>
      <c r="M2" s="503"/>
    </row>
    <row r="3" spans="1:48" s="88" customFormat="1" ht="16.5" customHeight="1">
      <c r="A3" s="496" t="s">
        <v>1217</v>
      </c>
      <c r="B3" s="496"/>
      <c r="C3" s="493" t="s">
        <v>5566</v>
      </c>
      <c r="D3" s="493"/>
      <c r="E3" s="493"/>
      <c r="F3" s="493"/>
      <c r="G3" s="493"/>
      <c r="H3" s="493"/>
      <c r="I3" s="493"/>
      <c r="J3" s="493"/>
      <c r="K3" s="493"/>
      <c r="L3" s="493"/>
      <c r="M3" s="493"/>
    </row>
    <row r="4" spans="1:48" s="88" customFormat="1" ht="16.5" customHeight="1">
      <c r="A4" s="496" t="s">
        <v>5786</v>
      </c>
      <c r="B4" s="496"/>
      <c r="C4" s="497" t="s">
        <v>5566</v>
      </c>
      <c r="D4" s="497"/>
      <c r="E4" s="497"/>
      <c r="F4" s="497"/>
      <c r="G4" s="497"/>
      <c r="H4" s="497"/>
      <c r="I4" s="497"/>
      <c r="J4" s="497"/>
      <c r="K4" s="497"/>
      <c r="L4" s="497"/>
      <c r="M4" s="497"/>
    </row>
    <row r="5" spans="1:48" s="88" customFormat="1" ht="16.5" customHeight="1">
      <c r="A5" s="496" t="s">
        <v>1220</v>
      </c>
      <c r="B5" s="496"/>
      <c r="C5" s="493" t="s">
        <v>5567</v>
      </c>
      <c r="D5" s="493"/>
      <c r="E5" s="493"/>
      <c r="F5" s="493"/>
      <c r="G5" s="493"/>
      <c r="H5" s="493"/>
      <c r="I5" s="493"/>
      <c r="J5" s="493"/>
      <c r="K5" s="493"/>
      <c r="L5" s="493"/>
      <c r="M5" s="493"/>
    </row>
    <row r="6" spans="1:48" s="88" customFormat="1" ht="16.5" customHeight="1">
      <c r="A6" s="496" t="s">
        <v>5785</v>
      </c>
      <c r="B6" s="496"/>
      <c r="C6" s="493" t="s">
        <v>5568</v>
      </c>
      <c r="D6" s="493"/>
      <c r="E6" s="493"/>
      <c r="F6" s="493"/>
      <c r="G6" s="493"/>
      <c r="H6" s="493"/>
      <c r="I6" s="493"/>
      <c r="J6" s="493"/>
      <c r="K6" s="493"/>
      <c r="L6" s="493"/>
      <c r="M6" s="493"/>
    </row>
    <row r="7" spans="1:48" s="88" customFormat="1" ht="16.5" customHeight="1">
      <c r="A7" s="89" t="s">
        <v>1223</v>
      </c>
      <c r="B7" s="92" t="s">
        <v>5569</v>
      </c>
      <c r="C7" s="493" t="s">
        <v>5570</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5571</v>
      </c>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36" t="s">
        <v>5569</v>
      </c>
      <c r="C17" s="136" t="s">
        <v>5481</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6" t="s">
        <v>5572</v>
      </c>
      <c r="C19" s="93" t="s">
        <v>5573</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6" t="s">
        <v>5574</v>
      </c>
      <c r="C20" s="93" t="s">
        <v>5575</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6" t="s">
        <v>5576</v>
      </c>
      <c r="C21" s="93" t="s">
        <v>5577</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6" t="s">
        <v>5578</v>
      </c>
      <c r="C22" s="93" t="s">
        <v>5579</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6" t="s">
        <v>5580</v>
      </c>
      <c r="C23" s="93" t="s">
        <v>5581</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6" t="s">
        <v>5582</v>
      </c>
      <c r="C24" s="93" t="s">
        <v>5583</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6" t="s">
        <v>5584</v>
      </c>
      <c r="C25" s="93" t="s">
        <v>5585</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6" t="s">
        <v>5586</v>
      </c>
      <c r="C26" s="93" t="s">
        <v>5587</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6" t="s">
        <v>5588</v>
      </c>
      <c r="C27" s="93" t="s">
        <v>5589</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6"/>
      <c r="C28" s="93" t="s">
        <v>5590</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6"/>
      <c r="C29" s="93" t="s">
        <v>5591</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16" t="s">
        <v>5592</v>
      </c>
      <c r="C30" s="93" t="s">
        <v>5593</v>
      </c>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B33" s="94" t="s">
        <v>1431</v>
      </c>
      <c r="C33" s="104" t="s">
        <v>1238</v>
      </c>
      <c r="E33" s="93" t="s">
        <v>4885</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93">
        <f ca="1">INFO("numfile")</f>
        <v>195</v>
      </c>
      <c r="C34" s="108" t="s">
        <v>5594</v>
      </c>
      <c r="E34" s="93" t="s">
        <v>5595</v>
      </c>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B35" s="93" t="str">
        <f ca="1">INFO("recalc")</f>
        <v>自动</v>
      </c>
      <c r="C35" s="108" t="s">
        <v>5596</v>
      </c>
      <c r="E35" s="93" t="s">
        <v>5597</v>
      </c>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sheetData>
  <mergeCells count="18">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s>
  <phoneticPr fontId="2" type="noConversion"/>
  <pageMargins left="0.75" right="0.75" top="1" bottom="1" header="0.5" footer="0.5"/>
  <headerFooter scaleWithDoc="0"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7"/>
  <dimension ref="A1:AV41"/>
  <sheetViews>
    <sheetView workbookViewId="0">
      <selection activeCell="B7" sqref="B7:C7"/>
    </sheetView>
  </sheetViews>
  <sheetFormatPr defaultColWidth="9" defaultRowHeight="17.399999999999999"/>
  <cols>
    <col min="1" max="14" width="9.5" style="4" customWidth="1"/>
    <col min="15" max="16384" width="9" style="4"/>
  </cols>
  <sheetData>
    <row r="1" spans="1:13" s="88" customFormat="1" ht="26.25" customHeight="1">
      <c r="A1" s="498" t="s">
        <v>710</v>
      </c>
      <c r="B1" s="498"/>
      <c r="C1" s="499"/>
      <c r="D1" s="87"/>
      <c r="E1" s="500" t="str">
        <f>HYPERLINK("#目录!A513","跳转回到目录页")</f>
        <v>跳转回到目录页</v>
      </c>
      <c r="F1" s="501"/>
    </row>
    <row r="2" spans="1:13" s="88" customFormat="1" ht="26.25" customHeight="1">
      <c r="A2" s="502" t="s">
        <v>1216</v>
      </c>
      <c r="B2" s="502"/>
      <c r="C2" s="503" t="s">
        <v>711</v>
      </c>
      <c r="D2" s="503"/>
      <c r="E2" s="503"/>
      <c r="F2" s="503"/>
      <c r="G2" s="503"/>
      <c r="H2" s="503"/>
      <c r="I2" s="503"/>
      <c r="J2" s="503"/>
      <c r="K2" s="503"/>
      <c r="L2" s="503"/>
      <c r="M2" s="503"/>
    </row>
    <row r="3" spans="1:13" s="88" customFormat="1" ht="16.5" customHeight="1">
      <c r="A3" s="496" t="s">
        <v>1217</v>
      </c>
      <c r="B3" s="496"/>
      <c r="C3" s="493" t="s">
        <v>5598</v>
      </c>
      <c r="D3" s="493"/>
      <c r="E3" s="493"/>
      <c r="F3" s="493"/>
      <c r="G3" s="493"/>
      <c r="H3" s="493"/>
      <c r="I3" s="493"/>
      <c r="J3" s="493"/>
      <c r="K3" s="493"/>
      <c r="L3" s="493"/>
      <c r="M3" s="493"/>
    </row>
    <row r="4" spans="1:13" s="88" customFormat="1" ht="16.5" customHeight="1">
      <c r="A4" s="496" t="s">
        <v>5786</v>
      </c>
      <c r="B4" s="496"/>
      <c r="C4" s="497" t="s">
        <v>711</v>
      </c>
      <c r="D4" s="497"/>
      <c r="E4" s="497"/>
      <c r="F4" s="497"/>
      <c r="G4" s="497"/>
      <c r="H4" s="497"/>
      <c r="I4" s="497"/>
      <c r="J4" s="497"/>
      <c r="K4" s="497"/>
      <c r="L4" s="497"/>
      <c r="M4" s="497"/>
    </row>
    <row r="5" spans="1:13" s="88" customFormat="1" ht="16.5" customHeight="1">
      <c r="A5" s="496" t="s">
        <v>1220</v>
      </c>
      <c r="B5" s="496"/>
      <c r="C5" s="493" t="s">
        <v>5599</v>
      </c>
      <c r="D5" s="493"/>
      <c r="E5" s="493"/>
      <c r="F5" s="493"/>
      <c r="G5" s="493"/>
      <c r="H5" s="493"/>
      <c r="I5" s="493"/>
      <c r="J5" s="493"/>
      <c r="K5" s="493"/>
      <c r="L5" s="493"/>
      <c r="M5" s="493"/>
    </row>
    <row r="6" spans="1:13" s="88" customFormat="1" ht="16.5" customHeight="1">
      <c r="A6" s="496" t="s">
        <v>5785</v>
      </c>
      <c r="B6" s="496"/>
      <c r="C6" s="493" t="s">
        <v>5600</v>
      </c>
      <c r="D6" s="493"/>
      <c r="E6" s="493"/>
      <c r="F6" s="493"/>
      <c r="G6" s="493"/>
      <c r="H6" s="493"/>
      <c r="I6" s="493"/>
      <c r="J6" s="493"/>
      <c r="K6" s="493"/>
      <c r="L6" s="493"/>
      <c r="M6" s="493"/>
    </row>
    <row r="7" spans="1:13" s="88" customFormat="1" ht="16.5" customHeight="1">
      <c r="A7" s="89" t="s">
        <v>1223</v>
      </c>
      <c r="B7" s="92" t="s">
        <v>5601</v>
      </c>
      <c r="C7" s="493" t="s">
        <v>5602</v>
      </c>
      <c r="D7" s="493"/>
      <c r="E7" s="493"/>
      <c r="F7" s="493"/>
      <c r="G7" s="493"/>
      <c r="H7" s="493"/>
      <c r="I7" s="493"/>
      <c r="J7" s="493"/>
      <c r="K7" s="493"/>
      <c r="L7" s="493"/>
      <c r="M7" s="493"/>
    </row>
    <row r="8" spans="1:13" s="88" customFormat="1" ht="16.5" customHeight="1">
      <c r="A8" s="89"/>
      <c r="B8" s="92" t="s">
        <v>5603</v>
      </c>
      <c r="C8" s="493" t="s">
        <v>5604</v>
      </c>
      <c r="D8" s="493"/>
      <c r="E8" s="493"/>
      <c r="F8" s="493"/>
      <c r="G8" s="493"/>
      <c r="H8" s="493"/>
      <c r="I8" s="493"/>
      <c r="J8" s="493"/>
      <c r="K8" s="493"/>
      <c r="L8" s="493"/>
      <c r="M8" s="493"/>
    </row>
    <row r="9" spans="1:13" s="88" customFormat="1" ht="24.75" customHeight="1">
      <c r="A9" s="89"/>
      <c r="B9" s="118" t="s">
        <v>5605</v>
      </c>
      <c r="C9" s="493" t="s">
        <v>5606</v>
      </c>
      <c r="D9" s="493"/>
      <c r="E9" s="493"/>
      <c r="F9" s="493"/>
      <c r="G9" s="493"/>
      <c r="H9" s="493"/>
      <c r="I9" s="493"/>
      <c r="J9" s="493"/>
      <c r="K9" s="493"/>
      <c r="L9" s="493"/>
      <c r="M9" s="493"/>
    </row>
    <row r="10" spans="1:13" s="88" customFormat="1" ht="16.5" customHeight="1">
      <c r="A10" s="89" t="s">
        <v>1228</v>
      </c>
      <c r="B10" s="493" t="s">
        <v>5607</v>
      </c>
      <c r="C10" s="493"/>
      <c r="D10" s="493"/>
      <c r="E10" s="493"/>
      <c r="F10" s="493"/>
      <c r="G10" s="493"/>
      <c r="H10" s="493"/>
      <c r="I10" s="493"/>
      <c r="J10" s="493"/>
      <c r="K10" s="493"/>
      <c r="L10" s="493"/>
      <c r="M10" s="493"/>
    </row>
    <row r="11" spans="1:13" ht="84" customHeight="1">
      <c r="A11" s="89" t="s">
        <v>1229</v>
      </c>
      <c r="B11" s="673" t="s">
        <v>5608</v>
      </c>
      <c r="C11" s="673"/>
      <c r="D11" s="673"/>
      <c r="E11" s="673"/>
      <c r="F11" s="673"/>
      <c r="G11" s="673"/>
      <c r="H11" s="673"/>
      <c r="I11" s="673"/>
      <c r="J11" s="673"/>
      <c r="K11" s="673"/>
      <c r="L11" s="673"/>
      <c r="M11" s="673"/>
    </row>
    <row r="12" spans="1:13" ht="21" customHeight="1">
      <c r="B12" s="494" t="s">
        <v>2863</v>
      </c>
      <c r="C12" s="494"/>
      <c r="D12" s="494"/>
      <c r="E12" s="494"/>
      <c r="F12" s="494"/>
      <c r="G12" s="494"/>
      <c r="H12" s="494"/>
      <c r="I12" s="494"/>
      <c r="J12" s="494"/>
      <c r="K12" s="494"/>
      <c r="L12" s="495"/>
    </row>
    <row r="13" spans="1:13" s="93" customFormat="1" ht="16.5" customHeight="1"/>
    <row r="14" spans="1:13" s="93" customFormat="1" ht="16.5" customHeight="1">
      <c r="A14" s="94" t="s">
        <v>1232</v>
      </c>
      <c r="B14" s="93" t="s">
        <v>1773</v>
      </c>
    </row>
    <row r="15" spans="1:13" s="119" customFormat="1" ht="16.5" customHeight="1"/>
    <row r="16" spans="1:13" s="119" customFormat="1" ht="16.5" customHeight="1"/>
    <row r="17" spans="2:48" s="119" customFormat="1" ht="16.5" customHeight="1">
      <c r="B17" s="120" t="s">
        <v>1246</v>
      </c>
      <c r="C17" s="120" t="s">
        <v>1371</v>
      </c>
      <c r="D17" s="120" t="s">
        <v>5609</v>
      </c>
      <c r="E17" s="120" t="s">
        <v>5610</v>
      </c>
    </row>
    <row r="18" spans="2:48" s="119" customFormat="1" ht="16.5" customHeight="1">
      <c r="B18" s="120" t="s">
        <v>5611</v>
      </c>
      <c r="C18" s="121">
        <v>40250</v>
      </c>
      <c r="D18" s="120">
        <v>325</v>
      </c>
      <c r="E18" s="120" t="s">
        <v>5612</v>
      </c>
    </row>
    <row r="19" spans="2:48" s="119" customFormat="1" ht="16.5" customHeight="1">
      <c r="B19" s="120" t="s">
        <v>5611</v>
      </c>
      <c r="C19" s="122">
        <v>40251</v>
      </c>
      <c r="D19" s="123">
        <v>325</v>
      </c>
      <c r="E19" s="123" t="s">
        <v>5613</v>
      </c>
    </row>
    <row r="20" spans="2:48" s="119" customFormat="1" ht="16.5" customHeight="1">
      <c r="B20" s="120" t="s">
        <v>5611</v>
      </c>
      <c r="C20" s="122">
        <v>40256</v>
      </c>
      <c r="D20" s="123">
        <v>325</v>
      </c>
      <c r="E20" s="123" t="s">
        <v>5612</v>
      </c>
    </row>
    <row r="21" spans="2:48" s="119" customFormat="1" ht="16.5" customHeight="1">
      <c r="B21" s="120" t="s">
        <v>5611</v>
      </c>
      <c r="C21" s="121">
        <v>40258</v>
      </c>
      <c r="D21" s="120">
        <v>325</v>
      </c>
      <c r="E21" s="120" t="s">
        <v>5612</v>
      </c>
    </row>
    <row r="22" spans="2:48" s="119" customFormat="1" ht="16.5" customHeight="1">
      <c r="B22" s="120" t="s">
        <v>5614</v>
      </c>
      <c r="C22" s="122">
        <v>40263</v>
      </c>
      <c r="D22" s="123">
        <v>592</v>
      </c>
      <c r="E22" s="120" t="s">
        <v>5613</v>
      </c>
    </row>
    <row r="23" spans="2:48" s="119" customFormat="1" ht="16.5" customHeight="1">
      <c r="B23" s="120" t="s">
        <v>5614</v>
      </c>
      <c r="C23" s="122">
        <v>40263</v>
      </c>
      <c r="D23" s="123">
        <v>325</v>
      </c>
      <c r="E23" s="120" t="s">
        <v>5613</v>
      </c>
    </row>
    <row r="24" spans="2:48" s="119" customFormat="1" ht="16.5" customHeight="1">
      <c r="B24" s="120" t="s">
        <v>5614</v>
      </c>
      <c r="C24" s="122">
        <v>40265</v>
      </c>
      <c r="D24" s="123">
        <v>325</v>
      </c>
      <c r="E24" s="123" t="s">
        <v>5612</v>
      </c>
    </row>
    <row r="25" spans="2:48" s="119" customFormat="1" ht="16.5" customHeight="1">
      <c r="B25" s="120" t="s">
        <v>5614</v>
      </c>
      <c r="C25" s="122">
        <v>40259</v>
      </c>
      <c r="D25" s="123">
        <v>325</v>
      </c>
      <c r="E25" s="120" t="s">
        <v>5613</v>
      </c>
    </row>
    <row r="26" spans="2:48" s="119" customFormat="1" ht="16.5" customHeight="1">
      <c r="B26" s="120" t="s">
        <v>5614</v>
      </c>
      <c r="C26" s="121">
        <v>40257</v>
      </c>
      <c r="D26" s="120">
        <v>592</v>
      </c>
      <c r="E26" s="120" t="s">
        <v>5612</v>
      </c>
    </row>
    <row r="27" spans="2:48" s="119" customFormat="1" ht="16.5" customHeight="1">
      <c r="B27" s="120" t="s">
        <v>5615</v>
      </c>
      <c r="C27" s="121">
        <v>40240</v>
      </c>
      <c r="D27" s="123">
        <v>325</v>
      </c>
      <c r="E27" s="123" t="s">
        <v>5613</v>
      </c>
    </row>
    <row r="28" spans="2:48" s="93" customFormat="1" ht="16.5" customHeight="1">
      <c r="B28" s="120" t="s">
        <v>5615</v>
      </c>
      <c r="C28" s="121">
        <v>40240</v>
      </c>
      <c r="D28" s="123">
        <v>592</v>
      </c>
      <c r="E28" s="123" t="s">
        <v>5613</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2:48" s="93" customFormat="1" ht="16.5" customHeight="1">
      <c r="B29" s="120" t="s">
        <v>5615</v>
      </c>
      <c r="C29" s="121">
        <v>40237</v>
      </c>
      <c r="D29" s="120">
        <v>592</v>
      </c>
      <c r="E29" s="120" t="s">
        <v>5612</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2:48" s="93" customFormat="1" ht="16.5" customHeight="1">
      <c r="C30" s="86"/>
      <c r="D30" s="124"/>
      <c r="E30" s="86"/>
      <c r="F30" s="86"/>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2: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2:48" s="93" customFormat="1" ht="16.5" customHeight="1">
      <c r="B32" s="125" t="s">
        <v>5616</v>
      </c>
      <c r="C32" s="126" t="s">
        <v>5610</v>
      </c>
      <c r="D32" s="127"/>
      <c r="E32" s="128"/>
      <c r="F32" s="119"/>
      <c r="G32" s="119"/>
      <c r="H32" s="119"/>
      <c r="I32" s="119"/>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B33" s="126" t="s">
        <v>1246</v>
      </c>
      <c r="C33" s="126" t="s">
        <v>5613</v>
      </c>
      <c r="D33" s="129" t="s">
        <v>5612</v>
      </c>
      <c r="E33" s="130" t="s">
        <v>2071</v>
      </c>
      <c r="F33" s="119"/>
      <c r="G33" s="119"/>
      <c r="H33" s="119"/>
      <c r="I33" s="119"/>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126" t="s">
        <v>5611</v>
      </c>
      <c r="C34" s="126">
        <v>325</v>
      </c>
      <c r="D34" s="129">
        <v>975</v>
      </c>
      <c r="E34" s="130">
        <v>1300</v>
      </c>
      <c r="F34" s="119">
        <f>GETPIVOTDATA("金额",$B$32,"姓名","李连霞","状态","成功")</f>
        <v>325</v>
      </c>
      <c r="G34" s="119" t="e">
        <f>GETPIVOTDATA(B32,$B$32,"姓名","李连霞","状态","成功")</f>
        <v>#REF!</v>
      </c>
      <c r="H34" s="119">
        <f>GETPIVOTDATA(T(B32),$B$32,"姓名","李连霞","状态","成功")</f>
        <v>325</v>
      </c>
      <c r="I34" s="119">
        <f>GETPIVOTDATA(B32&amp;"",$B$32,"姓名","李连霞","状态","成功")</f>
        <v>325</v>
      </c>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B35" s="131" t="s">
        <v>5615</v>
      </c>
      <c r="C35" s="131">
        <v>917</v>
      </c>
      <c r="D35" s="4">
        <v>592</v>
      </c>
      <c r="E35" s="132">
        <v>1509</v>
      </c>
      <c r="F35" s="119"/>
      <c r="G35" s="119"/>
      <c r="H35" s="119"/>
      <c r="I35" s="119"/>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B36" s="133" t="s">
        <v>2071</v>
      </c>
      <c r="C36" s="133">
        <v>1242</v>
      </c>
      <c r="D36" s="134">
        <v>1567</v>
      </c>
      <c r="E36" s="135">
        <v>2809</v>
      </c>
      <c r="F36" s="119"/>
      <c r="G36" s="119"/>
      <c r="H36" s="119"/>
      <c r="I36" s="119"/>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c r="A41" s="93"/>
      <c r="B41" s="93"/>
      <c r="C41" s="93"/>
      <c r="D41" s="93"/>
      <c r="E41" s="93"/>
      <c r="F41" s="93"/>
      <c r="G41" s="93"/>
      <c r="H41" s="93"/>
      <c r="I41" s="93"/>
      <c r="J41" s="93"/>
      <c r="K41" s="93"/>
      <c r="L41" s="93"/>
      <c r="M41" s="93"/>
    </row>
  </sheetData>
  <mergeCells count="18">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s>
  <phoneticPr fontId="2" type="noConversion"/>
  <dataValidations count="1">
    <dataValidation type="list" allowBlank="1" showInputMessage="1" showErrorMessage="1" sqref="F30 E18:E29" xr:uid="{00000000-0002-0000-6B00-000000000000}">
      <formula1>"成功,退,×"</formula1>
    </dataValidation>
  </dataValidations>
  <pageMargins left="0.75" right="0.75" top="1" bottom="1" header="0.5" footer="0.5"/>
  <pageSetup paperSize="9" orientation="portrait" horizontalDpi="0" verticalDpi="0"/>
  <headerFooter scaleWithDoc="0"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8"/>
  <dimension ref="A1:AV12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821</v>
      </c>
      <c r="B1" s="498"/>
      <c r="C1" s="499"/>
      <c r="D1" s="87"/>
      <c r="E1" s="500" t="str">
        <f>HYPERLINK("#目录!A495","跳转回到目录页")</f>
        <v>跳转回到目录页</v>
      </c>
      <c r="F1" s="501"/>
    </row>
    <row r="2" spans="1:48" s="88" customFormat="1" ht="26.25" customHeight="1">
      <c r="A2" s="502" t="s">
        <v>1216</v>
      </c>
      <c r="B2" s="502"/>
      <c r="C2" s="503" t="s">
        <v>693</v>
      </c>
      <c r="D2" s="503"/>
      <c r="E2" s="503"/>
      <c r="F2" s="503"/>
      <c r="G2" s="503"/>
      <c r="H2" s="503"/>
      <c r="I2" s="503"/>
      <c r="J2" s="503"/>
      <c r="K2" s="503"/>
      <c r="L2" s="503"/>
      <c r="M2" s="503"/>
    </row>
    <row r="3" spans="1:48" s="88" customFormat="1" ht="16.5" customHeight="1">
      <c r="A3" s="496" t="s">
        <v>1217</v>
      </c>
      <c r="B3" s="496"/>
      <c r="C3" s="493" t="s">
        <v>5617</v>
      </c>
      <c r="D3" s="493"/>
      <c r="E3" s="493"/>
      <c r="F3" s="493"/>
      <c r="G3" s="493"/>
      <c r="H3" s="493"/>
      <c r="I3" s="493"/>
      <c r="J3" s="493"/>
      <c r="K3" s="493"/>
      <c r="L3" s="493"/>
      <c r="M3" s="493"/>
    </row>
    <row r="4" spans="1:48" s="88" customFormat="1" ht="16.5" customHeight="1">
      <c r="A4" s="496" t="s">
        <v>5786</v>
      </c>
      <c r="B4" s="496"/>
      <c r="C4" s="497" t="s">
        <v>693</v>
      </c>
      <c r="D4" s="497"/>
      <c r="E4" s="497"/>
      <c r="F4" s="497"/>
      <c r="G4" s="497"/>
      <c r="H4" s="497"/>
      <c r="I4" s="497"/>
      <c r="J4" s="497"/>
      <c r="K4" s="497"/>
      <c r="L4" s="497"/>
      <c r="M4" s="497"/>
    </row>
    <row r="5" spans="1:48" s="88" customFormat="1" ht="16.5" customHeight="1">
      <c r="A5" s="496" t="s">
        <v>1220</v>
      </c>
      <c r="B5" s="496"/>
      <c r="C5" s="493" t="s">
        <v>5618</v>
      </c>
      <c r="D5" s="493"/>
      <c r="E5" s="493"/>
      <c r="F5" s="493"/>
      <c r="G5" s="493"/>
      <c r="H5" s="493"/>
      <c r="I5" s="493"/>
      <c r="J5" s="493"/>
      <c r="K5" s="493"/>
      <c r="L5" s="493"/>
      <c r="M5" s="493"/>
    </row>
    <row r="6" spans="1:48" s="88" customFormat="1" ht="16.5" customHeight="1">
      <c r="A6" s="496" t="s">
        <v>5785</v>
      </c>
      <c r="B6" s="496"/>
      <c r="C6" s="493" t="s">
        <v>5619</v>
      </c>
      <c r="D6" s="493"/>
      <c r="E6" s="493"/>
      <c r="F6" s="493"/>
      <c r="G6" s="493"/>
      <c r="H6" s="493"/>
      <c r="I6" s="493"/>
      <c r="J6" s="493"/>
      <c r="K6" s="493"/>
      <c r="L6" s="493"/>
      <c r="M6" s="493"/>
    </row>
    <row r="7" spans="1:48" s="88" customFormat="1" ht="24.75" customHeight="1">
      <c r="A7" s="89" t="s">
        <v>1223</v>
      </c>
      <c r="B7" s="92" t="s">
        <v>5620</v>
      </c>
      <c r="C7" s="493" t="s">
        <v>5621</v>
      </c>
      <c r="D7" s="493"/>
      <c r="E7" s="493"/>
      <c r="F7" s="493"/>
      <c r="G7" s="493"/>
      <c r="H7" s="493"/>
      <c r="I7" s="493"/>
      <c r="J7" s="493"/>
      <c r="K7" s="493"/>
      <c r="L7" s="493"/>
      <c r="M7" s="493"/>
    </row>
    <row r="8" spans="1:48" s="88" customFormat="1" ht="24.75" customHeight="1">
      <c r="A8" s="89"/>
      <c r="B8" s="92" t="s">
        <v>5622</v>
      </c>
      <c r="C8" s="493" t="s">
        <v>5623</v>
      </c>
      <c r="D8" s="493"/>
      <c r="E8" s="493"/>
      <c r="F8" s="493"/>
      <c r="G8" s="493"/>
      <c r="H8" s="493"/>
      <c r="I8" s="493"/>
      <c r="J8" s="493"/>
      <c r="K8" s="493"/>
      <c r="L8" s="493"/>
      <c r="M8" s="493"/>
    </row>
    <row r="9" spans="1:48" s="88" customFormat="1" ht="16.5" customHeight="1">
      <c r="A9" s="89"/>
      <c r="B9" s="90" t="s">
        <v>5624</v>
      </c>
      <c r="C9" s="493" t="s">
        <v>5625</v>
      </c>
      <c r="D9" s="493"/>
      <c r="E9" s="493"/>
      <c r="F9" s="493"/>
      <c r="G9" s="493"/>
      <c r="H9" s="493"/>
      <c r="I9" s="493"/>
      <c r="J9" s="493"/>
      <c r="K9" s="493"/>
      <c r="L9" s="493"/>
      <c r="M9" s="493"/>
    </row>
    <row r="10" spans="1:48" s="88" customFormat="1" ht="16.5" customHeight="1">
      <c r="A10" s="89" t="s">
        <v>1228</v>
      </c>
      <c r="B10" s="493" t="s">
        <v>5626</v>
      </c>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5627</v>
      </c>
      <c r="C17" s="518"/>
      <c r="D17" s="518"/>
      <c r="E17" s="51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1371</v>
      </c>
      <c r="C18" s="96" t="s">
        <v>1403</v>
      </c>
      <c r="D18" s="96" t="s">
        <v>5628</v>
      </c>
      <c r="E18" s="97" t="s">
        <v>5609</v>
      </c>
      <c r="G18" s="98" t="s">
        <v>1403</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4">
        <v>40824</v>
      </c>
      <c r="C19" s="110" t="s">
        <v>5629</v>
      </c>
      <c r="D19" s="110" t="s">
        <v>5630</v>
      </c>
      <c r="E19" s="101">
        <v>600</v>
      </c>
      <c r="G19" s="115" t="s">
        <v>5629</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4">
        <v>40826</v>
      </c>
      <c r="C20" s="110" t="s">
        <v>5629</v>
      </c>
      <c r="D20" s="110" t="s">
        <v>5631</v>
      </c>
      <c r="E20" s="101">
        <v>86</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4">
        <v>40827</v>
      </c>
      <c r="C21" s="110" t="s">
        <v>5632</v>
      </c>
      <c r="D21" s="110" t="s">
        <v>5633</v>
      </c>
      <c r="E21" s="101">
        <v>3500</v>
      </c>
      <c r="G21" s="116" t="s">
        <v>5634</v>
      </c>
      <c r="H21" s="104" t="s">
        <v>1238</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4">
        <v>40827</v>
      </c>
      <c r="C22" s="110" t="s">
        <v>5635</v>
      </c>
      <c r="D22" s="110" t="s">
        <v>5636</v>
      </c>
      <c r="E22" s="101">
        <v>90</v>
      </c>
      <c r="G22" s="93">
        <f>DCOUNT(B18:E24,E18,G18:G19)</f>
        <v>2</v>
      </c>
      <c r="H22" s="108" t="s">
        <v>5637</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4">
        <v>40829</v>
      </c>
      <c r="C23" s="110" t="s">
        <v>5638</v>
      </c>
      <c r="D23" s="110" t="s">
        <v>5639</v>
      </c>
      <c r="E23" s="101">
        <v>7500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7">
        <v>40831</v>
      </c>
      <c r="C24" s="113" t="s">
        <v>5629</v>
      </c>
      <c r="D24" s="113" t="s">
        <v>5640</v>
      </c>
      <c r="E24" s="107" t="s">
        <v>5641</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823</v>
      </c>
      <c r="B100" s="498"/>
      <c r="C100" s="499"/>
      <c r="D100" s="87"/>
      <c r="E100" s="500" t="str">
        <f>HYPERLINK("#目录!A496","跳转回到目录页")</f>
        <v>跳转回到目录页</v>
      </c>
      <c r="F100" s="501"/>
    </row>
    <row r="101" spans="1:13" s="88" customFormat="1" ht="26.25" customHeight="1">
      <c r="A101" s="502" t="s">
        <v>1216</v>
      </c>
      <c r="B101" s="502"/>
      <c r="C101" s="503" t="s">
        <v>694</v>
      </c>
      <c r="D101" s="503"/>
      <c r="E101" s="503"/>
      <c r="F101" s="503"/>
      <c r="G101" s="503"/>
      <c r="H101" s="503"/>
      <c r="I101" s="503"/>
      <c r="J101" s="503"/>
      <c r="K101" s="503"/>
      <c r="L101" s="503"/>
      <c r="M101" s="503"/>
    </row>
    <row r="102" spans="1:13" s="88" customFormat="1" ht="16.5" customHeight="1">
      <c r="A102" s="496" t="s">
        <v>1217</v>
      </c>
      <c r="B102" s="496"/>
      <c r="C102" s="493" t="s">
        <v>5642</v>
      </c>
      <c r="D102" s="493"/>
      <c r="E102" s="493"/>
      <c r="F102" s="493"/>
      <c r="G102" s="493"/>
      <c r="H102" s="493"/>
      <c r="I102" s="493"/>
      <c r="J102" s="493"/>
      <c r="K102" s="493"/>
      <c r="L102" s="493"/>
      <c r="M102" s="493"/>
    </row>
    <row r="103" spans="1:13" s="88" customFormat="1" ht="16.5" customHeight="1">
      <c r="A103" s="496" t="s">
        <v>5786</v>
      </c>
      <c r="B103" s="496"/>
      <c r="C103" s="497" t="s">
        <v>694</v>
      </c>
      <c r="D103" s="497"/>
      <c r="E103" s="497"/>
      <c r="F103" s="497"/>
      <c r="G103" s="497"/>
      <c r="H103" s="497"/>
      <c r="I103" s="497"/>
      <c r="J103" s="497"/>
      <c r="K103" s="497"/>
      <c r="L103" s="497"/>
      <c r="M103" s="497"/>
    </row>
    <row r="104" spans="1:13" s="88" customFormat="1" ht="16.5" customHeight="1">
      <c r="A104" s="496" t="s">
        <v>1220</v>
      </c>
      <c r="B104" s="496"/>
      <c r="C104" s="493" t="s">
        <v>5643</v>
      </c>
      <c r="D104" s="493"/>
      <c r="E104" s="493"/>
      <c r="F104" s="493"/>
      <c r="G104" s="493"/>
      <c r="H104" s="493"/>
      <c r="I104" s="493"/>
      <c r="J104" s="493"/>
      <c r="K104" s="493"/>
      <c r="L104" s="493"/>
      <c r="M104" s="493"/>
    </row>
    <row r="105" spans="1:13" s="88" customFormat="1" ht="16.5" customHeight="1">
      <c r="A105" s="496" t="s">
        <v>5785</v>
      </c>
      <c r="B105" s="496"/>
      <c r="C105" s="493" t="s">
        <v>5644</v>
      </c>
      <c r="D105" s="493"/>
      <c r="E105" s="493"/>
      <c r="F105" s="493"/>
      <c r="G105" s="493"/>
      <c r="H105" s="493"/>
      <c r="I105" s="493"/>
      <c r="J105" s="493"/>
      <c r="K105" s="493"/>
      <c r="L105" s="493"/>
      <c r="M105" s="493"/>
    </row>
    <row r="106" spans="1:13" s="88" customFormat="1" ht="24.75" customHeight="1">
      <c r="A106" s="89" t="s">
        <v>1223</v>
      </c>
      <c r="B106" s="92" t="s">
        <v>5620</v>
      </c>
      <c r="C106" s="493" t="s">
        <v>5621</v>
      </c>
      <c r="D106" s="493"/>
      <c r="E106" s="493"/>
      <c r="F106" s="493"/>
      <c r="G106" s="493"/>
      <c r="H106" s="493"/>
      <c r="I106" s="493"/>
      <c r="J106" s="493"/>
      <c r="K106" s="493"/>
      <c r="L106" s="493"/>
      <c r="M106" s="493"/>
    </row>
    <row r="107" spans="1:13" s="88" customFormat="1" ht="24.75" customHeight="1">
      <c r="A107" s="89"/>
      <c r="B107" s="92" t="s">
        <v>5622</v>
      </c>
      <c r="C107" s="493" t="s">
        <v>5623</v>
      </c>
      <c r="D107" s="493"/>
      <c r="E107" s="493"/>
      <c r="F107" s="493"/>
      <c r="G107" s="493"/>
      <c r="H107" s="493"/>
      <c r="I107" s="493"/>
      <c r="J107" s="493"/>
      <c r="K107" s="493"/>
      <c r="L107" s="493"/>
      <c r="M107" s="493"/>
    </row>
    <row r="108" spans="1:13" s="88" customFormat="1" ht="16.5" customHeight="1">
      <c r="A108" s="89"/>
      <c r="B108" s="90" t="s">
        <v>5624</v>
      </c>
      <c r="C108" s="493" t="s">
        <v>5625</v>
      </c>
      <c r="D108" s="493"/>
      <c r="E108" s="493"/>
      <c r="F108" s="493"/>
      <c r="G108" s="493"/>
      <c r="H108" s="493"/>
      <c r="I108" s="493"/>
      <c r="J108" s="493"/>
      <c r="K108" s="493"/>
      <c r="L108" s="493"/>
      <c r="M108" s="493"/>
    </row>
    <row r="109" spans="1:13" s="88" customFormat="1" ht="16.5" customHeight="1">
      <c r="A109" s="89" t="s">
        <v>1228</v>
      </c>
      <c r="B109" s="493" t="s">
        <v>5645</v>
      </c>
      <c r="C109" s="493"/>
      <c r="D109" s="493"/>
      <c r="E109" s="493"/>
      <c r="F109" s="493"/>
      <c r="G109" s="493"/>
      <c r="H109" s="493"/>
      <c r="I109" s="493"/>
      <c r="J109" s="493"/>
      <c r="K109" s="493"/>
      <c r="L109" s="493"/>
      <c r="M109" s="493"/>
    </row>
    <row r="110" spans="1:13" ht="16.5" customHeight="1">
      <c r="A110" s="89" t="s">
        <v>1229</v>
      </c>
      <c r="B110" s="673"/>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10" s="93" customFormat="1" ht="16.5" customHeight="1">
      <c r="A113" s="94" t="s">
        <v>1232</v>
      </c>
      <c r="B113" s="93" t="s">
        <v>1773</v>
      </c>
    </row>
    <row r="114" spans="1:10" ht="16.5" customHeight="1">
      <c r="B114" s="93"/>
      <c r="C114" s="93"/>
      <c r="D114" s="93"/>
      <c r="E114" s="93"/>
      <c r="F114" s="93"/>
      <c r="G114" s="93"/>
      <c r="H114" s="93"/>
      <c r="I114" s="93"/>
      <c r="J114" s="93"/>
    </row>
    <row r="115" spans="1:10" ht="16.5" customHeight="1">
      <c r="B115" s="93"/>
      <c r="C115" s="93"/>
      <c r="D115" s="93"/>
      <c r="E115" s="93"/>
      <c r="F115" s="93"/>
      <c r="G115" s="93"/>
      <c r="H115" s="93"/>
      <c r="I115" s="93"/>
      <c r="J115" s="93"/>
    </row>
    <row r="116" spans="1:10" ht="16.5" customHeight="1">
      <c r="B116" s="95" t="s">
        <v>1246</v>
      </c>
      <c r="C116" s="96" t="s">
        <v>1968</v>
      </c>
      <c r="D116" s="96" t="s">
        <v>5646</v>
      </c>
      <c r="E116" s="97" t="s">
        <v>5647</v>
      </c>
      <c r="F116" s="93"/>
      <c r="G116" s="480" t="s">
        <v>1730</v>
      </c>
      <c r="H116" s="481"/>
      <c r="I116" s="93"/>
      <c r="J116" s="93"/>
    </row>
    <row r="117" spans="1:10" ht="16.5" customHeight="1">
      <c r="B117" s="99" t="s">
        <v>5648</v>
      </c>
      <c r="C117" s="110">
        <v>20</v>
      </c>
      <c r="D117" s="110">
        <v>190</v>
      </c>
      <c r="E117" s="101">
        <v>88</v>
      </c>
      <c r="F117" s="93"/>
      <c r="G117" s="111" t="s">
        <v>1968</v>
      </c>
      <c r="H117" s="112" t="s">
        <v>5646</v>
      </c>
      <c r="I117" s="93"/>
      <c r="J117" s="93"/>
    </row>
    <row r="118" spans="1:10" ht="16.5" customHeight="1">
      <c r="B118" s="99" t="s">
        <v>1250</v>
      </c>
      <c r="C118" s="110">
        <v>18</v>
      </c>
      <c r="D118" s="110">
        <v>186</v>
      </c>
      <c r="E118" s="101">
        <v>75</v>
      </c>
      <c r="F118" s="93"/>
      <c r="G118" s="105" t="s">
        <v>5649</v>
      </c>
      <c r="H118" s="107" t="s">
        <v>5650</v>
      </c>
      <c r="I118" s="93"/>
      <c r="J118" s="93"/>
    </row>
    <row r="119" spans="1:10" ht="16.5" customHeight="1">
      <c r="B119" s="99" t="s">
        <v>1252</v>
      </c>
      <c r="C119" s="110">
        <v>18</v>
      </c>
      <c r="D119" s="110">
        <v>170</v>
      </c>
      <c r="E119" s="101"/>
      <c r="F119" s="93"/>
      <c r="G119" s="93"/>
      <c r="H119" s="93"/>
      <c r="I119" s="93"/>
      <c r="J119" s="93"/>
    </row>
    <row r="120" spans="1:10" ht="16.5" customHeight="1">
      <c r="B120" s="99" t="s">
        <v>1253</v>
      </c>
      <c r="C120" s="110">
        <v>19</v>
      </c>
      <c r="D120" s="110">
        <v>166</v>
      </c>
      <c r="E120" s="101">
        <v>65</v>
      </c>
      <c r="F120" s="93"/>
      <c r="G120" s="93" t="s">
        <v>1456</v>
      </c>
      <c r="H120" s="104" t="s">
        <v>1238</v>
      </c>
      <c r="I120" s="93"/>
      <c r="J120" s="93"/>
    </row>
    <row r="121" spans="1:10" ht="16.5" customHeight="1">
      <c r="B121" s="105" t="s">
        <v>5651</v>
      </c>
      <c r="C121" s="113">
        <v>20</v>
      </c>
      <c r="D121" s="113">
        <v>163</v>
      </c>
      <c r="E121" s="107">
        <v>67</v>
      </c>
      <c r="F121" s="93"/>
      <c r="G121" s="93">
        <f>DCOUNTA(B116:E121,E116,G117:H118)</f>
        <v>3</v>
      </c>
      <c r="H121" s="108" t="s">
        <v>5652</v>
      </c>
      <c r="I121" s="93"/>
      <c r="J121" s="93"/>
    </row>
    <row r="122" spans="1:10" ht="16.5" customHeight="1">
      <c r="B122" s="93"/>
      <c r="C122" s="93"/>
      <c r="D122" s="93"/>
      <c r="E122" s="93"/>
      <c r="F122" s="93"/>
      <c r="G122" s="93"/>
      <c r="H122" s="93"/>
      <c r="I122" s="93"/>
      <c r="J122" s="93"/>
    </row>
    <row r="123" spans="1:10" ht="16.5" customHeight="1">
      <c r="B123" s="93"/>
      <c r="C123" s="93"/>
      <c r="D123" s="93"/>
      <c r="E123" s="93"/>
      <c r="F123" s="93"/>
      <c r="G123" s="93"/>
      <c r="H123" s="93"/>
      <c r="I123" s="93"/>
      <c r="J123" s="93"/>
    </row>
    <row r="124" spans="1:10" ht="16.5" customHeight="1">
      <c r="B124" s="93"/>
      <c r="C124" s="93"/>
      <c r="D124" s="93"/>
      <c r="E124" s="93"/>
      <c r="F124" s="93"/>
      <c r="G124" s="93"/>
      <c r="H124" s="93"/>
      <c r="I124" s="93"/>
      <c r="J124" s="93"/>
    </row>
    <row r="125" spans="1:10" ht="16.5" customHeight="1">
      <c r="B125" s="93"/>
      <c r="C125" s="93"/>
      <c r="D125" s="93"/>
      <c r="E125" s="93"/>
      <c r="F125" s="93"/>
      <c r="G125" s="93"/>
      <c r="H125" s="93"/>
      <c r="I125" s="93"/>
      <c r="J125" s="93"/>
    </row>
    <row r="126" spans="1:10" ht="16.5" customHeight="1">
      <c r="B126" s="93"/>
      <c r="C126" s="93"/>
      <c r="D126" s="93"/>
      <c r="E126" s="93"/>
      <c r="F126" s="93"/>
      <c r="G126" s="93"/>
      <c r="H126" s="93"/>
      <c r="I126" s="93"/>
      <c r="J126" s="93"/>
    </row>
    <row r="127" spans="1:10" ht="16.5" customHeight="1">
      <c r="B127" s="93"/>
      <c r="C127" s="93"/>
      <c r="D127" s="93"/>
      <c r="E127" s="93"/>
      <c r="F127" s="93"/>
      <c r="G127" s="93"/>
      <c r="H127" s="93"/>
      <c r="I127" s="93"/>
      <c r="J127" s="93"/>
    </row>
    <row r="128" spans="1:10" ht="16.5" customHeight="1">
      <c r="B128" s="93"/>
      <c r="C128" s="93"/>
      <c r="D128" s="93"/>
      <c r="E128" s="93"/>
      <c r="F128" s="93"/>
      <c r="G128" s="93"/>
      <c r="H128" s="93"/>
      <c r="I128" s="93"/>
      <c r="J128" s="93"/>
    </row>
  </sheetData>
  <mergeCells count="38">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E17"/>
    <mergeCell ref="A100:C100"/>
    <mergeCell ref="E100:F100"/>
    <mergeCell ref="A101:B101"/>
    <mergeCell ref="C101:M101"/>
    <mergeCell ref="A103:B103"/>
    <mergeCell ref="C103:M103"/>
    <mergeCell ref="A104:B104"/>
    <mergeCell ref="C104:M104"/>
    <mergeCell ref="A105:B105"/>
    <mergeCell ref="C105:M105"/>
    <mergeCell ref="G116:H116"/>
    <mergeCell ref="C106:M106"/>
    <mergeCell ref="C107:M107"/>
    <mergeCell ref="C108:M108"/>
    <mergeCell ref="B109:M109"/>
    <mergeCell ref="B110:M110"/>
    <mergeCell ref="B111:L111"/>
  </mergeCells>
  <phoneticPr fontId="2" type="noConversion"/>
  <pageMargins left="0.75" right="0.75" top="1" bottom="1" header="0.5" footer="0.5"/>
  <headerFooter scaleWithDoc="0"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9"/>
  <dimension ref="A1:AV122"/>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839</v>
      </c>
      <c r="B1" s="498"/>
      <c r="C1" s="499"/>
      <c r="D1" s="87"/>
      <c r="E1" s="500" t="str">
        <f>HYPERLINK("#目录!A498","跳转回到目录页")</f>
        <v>跳转回到目录页</v>
      </c>
      <c r="F1" s="501"/>
    </row>
    <row r="2" spans="1:48" s="88" customFormat="1" ht="26.25" customHeight="1">
      <c r="A2" s="502" t="s">
        <v>1216</v>
      </c>
      <c r="B2" s="502"/>
      <c r="C2" s="503" t="s">
        <v>696</v>
      </c>
      <c r="D2" s="503"/>
      <c r="E2" s="503"/>
      <c r="F2" s="503"/>
      <c r="G2" s="503"/>
      <c r="H2" s="503"/>
      <c r="I2" s="503"/>
      <c r="J2" s="503"/>
      <c r="K2" s="503"/>
      <c r="L2" s="503"/>
      <c r="M2" s="503"/>
    </row>
    <row r="3" spans="1:48" s="88" customFormat="1" ht="16.5" customHeight="1">
      <c r="A3" s="496" t="s">
        <v>1217</v>
      </c>
      <c r="B3" s="496"/>
      <c r="C3" s="493" t="s">
        <v>5653</v>
      </c>
      <c r="D3" s="493"/>
      <c r="E3" s="493"/>
      <c r="F3" s="493"/>
      <c r="G3" s="493"/>
      <c r="H3" s="493"/>
      <c r="I3" s="493"/>
      <c r="J3" s="493"/>
      <c r="K3" s="493"/>
      <c r="L3" s="493"/>
      <c r="M3" s="493"/>
    </row>
    <row r="4" spans="1:48" s="88" customFormat="1" ht="16.5" customHeight="1">
      <c r="A4" s="496" t="s">
        <v>5786</v>
      </c>
      <c r="B4" s="496"/>
      <c r="C4" s="497" t="s">
        <v>696</v>
      </c>
      <c r="D4" s="497"/>
      <c r="E4" s="497"/>
      <c r="F4" s="497"/>
      <c r="G4" s="497"/>
      <c r="H4" s="497"/>
      <c r="I4" s="497"/>
      <c r="J4" s="497"/>
      <c r="K4" s="497"/>
      <c r="L4" s="497"/>
      <c r="M4" s="497"/>
    </row>
    <row r="5" spans="1:48" s="88" customFormat="1" ht="16.5" customHeight="1">
      <c r="A5" s="496" t="s">
        <v>1220</v>
      </c>
      <c r="B5" s="496"/>
      <c r="C5" s="493" t="s">
        <v>5654</v>
      </c>
      <c r="D5" s="493"/>
      <c r="E5" s="493"/>
      <c r="F5" s="493"/>
      <c r="G5" s="493"/>
      <c r="H5" s="493"/>
      <c r="I5" s="493"/>
      <c r="J5" s="493"/>
      <c r="K5" s="493"/>
      <c r="L5" s="493"/>
      <c r="M5" s="493"/>
    </row>
    <row r="6" spans="1:48" s="88" customFormat="1" ht="16.5" customHeight="1">
      <c r="A6" s="496" t="s">
        <v>5785</v>
      </c>
      <c r="B6" s="496"/>
      <c r="C6" s="493" t="s">
        <v>5655</v>
      </c>
      <c r="D6" s="493"/>
      <c r="E6" s="493"/>
      <c r="F6" s="493"/>
      <c r="G6" s="493"/>
      <c r="H6" s="493"/>
      <c r="I6" s="493"/>
      <c r="J6" s="493"/>
      <c r="K6" s="493"/>
      <c r="L6" s="493"/>
      <c r="M6" s="493"/>
    </row>
    <row r="7" spans="1:48" s="88" customFormat="1" ht="24.75" customHeight="1">
      <c r="A7" s="89" t="s">
        <v>1223</v>
      </c>
      <c r="B7" s="92" t="s">
        <v>5620</v>
      </c>
      <c r="C7" s="493" t="s">
        <v>5621</v>
      </c>
      <c r="D7" s="493"/>
      <c r="E7" s="493"/>
      <c r="F7" s="493"/>
      <c r="G7" s="493"/>
      <c r="H7" s="493"/>
      <c r="I7" s="493"/>
      <c r="J7" s="493"/>
      <c r="K7" s="493"/>
      <c r="L7" s="493"/>
      <c r="M7" s="493"/>
    </row>
    <row r="8" spans="1:48" s="88" customFormat="1" ht="24.75" customHeight="1">
      <c r="A8" s="89"/>
      <c r="B8" s="92" t="s">
        <v>5622</v>
      </c>
      <c r="C8" s="493" t="s">
        <v>5623</v>
      </c>
      <c r="D8" s="493"/>
      <c r="E8" s="493"/>
      <c r="F8" s="493"/>
      <c r="G8" s="493"/>
      <c r="H8" s="493"/>
      <c r="I8" s="493"/>
      <c r="J8" s="493"/>
      <c r="K8" s="493"/>
      <c r="L8" s="493"/>
      <c r="M8" s="493"/>
    </row>
    <row r="9" spans="1:48" s="88" customFormat="1" ht="16.5" customHeight="1">
      <c r="A9" s="89"/>
      <c r="B9" s="90" t="s">
        <v>5624</v>
      </c>
      <c r="C9" s="493" t="s">
        <v>5625</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1246</v>
      </c>
      <c r="C18" s="96" t="s">
        <v>1968</v>
      </c>
      <c r="D18" s="96" t="s">
        <v>5646</v>
      </c>
      <c r="E18" s="97" t="s">
        <v>5647</v>
      </c>
      <c r="G18" s="480" t="s">
        <v>1730</v>
      </c>
      <c r="H18" s="48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t="s">
        <v>5648</v>
      </c>
      <c r="C19" s="110">
        <v>20</v>
      </c>
      <c r="D19" s="110">
        <v>190</v>
      </c>
      <c r="E19" s="101">
        <v>88</v>
      </c>
      <c r="G19" s="111" t="s">
        <v>1968</v>
      </c>
      <c r="H19" s="112" t="s">
        <v>5646</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t="s">
        <v>1250</v>
      </c>
      <c r="C20" s="110">
        <v>18</v>
      </c>
      <c r="D20" s="110">
        <v>186</v>
      </c>
      <c r="E20" s="101">
        <v>75</v>
      </c>
      <c r="G20" s="105" t="s">
        <v>5649</v>
      </c>
      <c r="H20" s="107" t="s">
        <v>5650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t="s">
        <v>1252</v>
      </c>
      <c r="C21" s="110">
        <v>18</v>
      </c>
      <c r="D21" s="110">
        <v>170</v>
      </c>
      <c r="E21" s="101" t="s">
        <v>5656</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t="s">
        <v>1253</v>
      </c>
      <c r="C22" s="110">
        <v>19</v>
      </c>
      <c r="D22" s="110">
        <v>166</v>
      </c>
      <c r="E22" s="101">
        <v>65</v>
      </c>
      <c r="G22" s="93" t="s">
        <v>1456</v>
      </c>
      <c r="H22" s="104" t="s">
        <v>1238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05" t="s">
        <v>5651</v>
      </c>
      <c r="C23" s="113">
        <v>20</v>
      </c>
      <c r="D23" s="113">
        <v>163</v>
      </c>
      <c r="E23" s="107">
        <v>67</v>
      </c>
      <c r="G23" s="93">
        <f>DMAX(B18:E23,E18,G19:H20)</f>
        <v>88</v>
      </c>
      <c r="H23" s="108" t="s">
        <v>5657</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841</v>
      </c>
      <c r="B100" s="498"/>
      <c r="C100" s="499"/>
      <c r="D100" s="87"/>
      <c r="E100" s="500" t="str">
        <f>HYPERLINK("#目录!A499","跳转回到目录页")</f>
        <v>跳转回到目录页</v>
      </c>
      <c r="F100" s="501"/>
    </row>
    <row r="101" spans="1:13" s="88" customFormat="1" ht="26.25" customHeight="1">
      <c r="A101" s="502" t="s">
        <v>1216</v>
      </c>
      <c r="B101" s="502"/>
      <c r="C101" s="503" t="s">
        <v>697</v>
      </c>
      <c r="D101" s="503"/>
      <c r="E101" s="503"/>
      <c r="F101" s="503"/>
      <c r="G101" s="503"/>
      <c r="H101" s="503"/>
      <c r="I101" s="503"/>
      <c r="J101" s="503"/>
      <c r="K101" s="503"/>
      <c r="L101" s="503"/>
      <c r="M101" s="503"/>
    </row>
    <row r="102" spans="1:13" s="88" customFormat="1" ht="16.5" customHeight="1">
      <c r="A102" s="496" t="s">
        <v>1217</v>
      </c>
      <c r="B102" s="496"/>
      <c r="C102" s="493" t="s">
        <v>5658</v>
      </c>
      <c r="D102" s="493"/>
      <c r="E102" s="493"/>
      <c r="F102" s="493"/>
      <c r="G102" s="493"/>
      <c r="H102" s="493"/>
      <c r="I102" s="493"/>
      <c r="J102" s="493"/>
      <c r="K102" s="493"/>
      <c r="L102" s="493"/>
      <c r="M102" s="493"/>
    </row>
    <row r="103" spans="1:13" s="88" customFormat="1" ht="16.5" customHeight="1">
      <c r="A103" s="496" t="s">
        <v>5786</v>
      </c>
      <c r="B103" s="496"/>
      <c r="C103" s="497" t="s">
        <v>697</v>
      </c>
      <c r="D103" s="497"/>
      <c r="E103" s="497"/>
      <c r="F103" s="497"/>
      <c r="G103" s="497"/>
      <c r="H103" s="497"/>
      <c r="I103" s="497"/>
      <c r="J103" s="497"/>
      <c r="K103" s="497"/>
      <c r="L103" s="497"/>
      <c r="M103" s="497"/>
    </row>
    <row r="104" spans="1:13" s="88" customFormat="1" ht="16.5" customHeight="1">
      <c r="A104" s="496" t="s">
        <v>1220</v>
      </c>
      <c r="B104" s="496"/>
      <c r="C104" s="493" t="s">
        <v>5659</v>
      </c>
      <c r="D104" s="493"/>
      <c r="E104" s="493"/>
      <c r="F104" s="493"/>
      <c r="G104" s="493"/>
      <c r="H104" s="493"/>
      <c r="I104" s="493"/>
      <c r="J104" s="493"/>
      <c r="K104" s="493"/>
      <c r="L104" s="493"/>
      <c r="M104" s="493"/>
    </row>
    <row r="105" spans="1:13" s="88" customFormat="1" ht="16.5" customHeight="1">
      <c r="A105" s="496" t="s">
        <v>5785</v>
      </c>
      <c r="B105" s="496"/>
      <c r="C105" s="493" t="s">
        <v>5660</v>
      </c>
      <c r="D105" s="493"/>
      <c r="E105" s="493"/>
      <c r="F105" s="493"/>
      <c r="G105" s="493"/>
      <c r="H105" s="493"/>
      <c r="I105" s="493"/>
      <c r="J105" s="493"/>
      <c r="K105" s="493"/>
      <c r="L105" s="493"/>
      <c r="M105" s="493"/>
    </row>
    <row r="106" spans="1:13" s="88" customFormat="1" ht="24.75" customHeight="1">
      <c r="A106" s="89" t="s">
        <v>1223</v>
      </c>
      <c r="B106" s="92" t="s">
        <v>5620</v>
      </c>
      <c r="C106" s="493" t="s">
        <v>5621</v>
      </c>
      <c r="D106" s="493"/>
      <c r="E106" s="493"/>
      <c r="F106" s="493"/>
      <c r="G106" s="493"/>
      <c r="H106" s="493"/>
      <c r="I106" s="493"/>
      <c r="J106" s="493"/>
      <c r="K106" s="493"/>
      <c r="L106" s="493"/>
      <c r="M106" s="493"/>
    </row>
    <row r="107" spans="1:13" s="88" customFormat="1" ht="24.75" customHeight="1">
      <c r="A107" s="89"/>
      <c r="B107" s="92" t="s">
        <v>5622</v>
      </c>
      <c r="C107" s="493" t="s">
        <v>5623</v>
      </c>
      <c r="D107" s="493"/>
      <c r="E107" s="493"/>
      <c r="F107" s="493"/>
      <c r="G107" s="493"/>
      <c r="H107" s="493"/>
      <c r="I107" s="493"/>
      <c r="J107" s="493"/>
      <c r="K107" s="493"/>
      <c r="L107" s="493"/>
      <c r="M107" s="493"/>
    </row>
    <row r="108" spans="1:13" s="88" customFormat="1" ht="16.5" customHeight="1">
      <c r="A108" s="89"/>
      <c r="B108" s="90" t="s">
        <v>5624</v>
      </c>
      <c r="C108" s="493" t="s">
        <v>5625</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673"/>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8" s="93" customFormat="1" ht="16.5" customHeight="1">
      <c r="A113" s="94" t="s">
        <v>1232</v>
      </c>
      <c r="B113" s="93" t="s">
        <v>1773</v>
      </c>
    </row>
    <row r="114" spans="1:8" ht="16.5" customHeight="1"/>
    <row r="115" spans="1:8" ht="16.5" customHeight="1"/>
    <row r="116" spans="1:8" ht="16.5" customHeight="1">
      <c r="B116" s="95" t="s">
        <v>1246</v>
      </c>
      <c r="C116" s="96" t="s">
        <v>1968</v>
      </c>
      <c r="D116" s="96" t="s">
        <v>5646</v>
      </c>
      <c r="E116" s="97" t="s">
        <v>5647</v>
      </c>
      <c r="F116" s="93"/>
      <c r="G116" s="480" t="s">
        <v>1730</v>
      </c>
      <c r="H116" s="481"/>
    </row>
    <row r="117" spans="1:8" ht="16.5" customHeight="1">
      <c r="B117" s="99" t="s">
        <v>5648</v>
      </c>
      <c r="C117" s="110">
        <v>20</v>
      </c>
      <c r="D117" s="110">
        <v>190</v>
      </c>
      <c r="E117" s="101">
        <v>88</v>
      </c>
      <c r="F117" s="93"/>
      <c r="G117" s="111" t="s">
        <v>1968</v>
      </c>
      <c r="H117" s="112" t="s">
        <v>5646</v>
      </c>
    </row>
    <row r="118" spans="1:8" ht="16.5" customHeight="1">
      <c r="B118" s="99" t="s">
        <v>1250</v>
      </c>
      <c r="C118" s="110">
        <v>18</v>
      </c>
      <c r="D118" s="110">
        <v>186</v>
      </c>
      <c r="E118" s="101">
        <v>75</v>
      </c>
      <c r="F118" s="93"/>
      <c r="G118" s="105" t="s">
        <v>5649</v>
      </c>
      <c r="H118" s="107" t="s">
        <v>5650</v>
      </c>
    </row>
    <row r="119" spans="1:8" ht="16.5" customHeight="1">
      <c r="B119" s="99" t="s">
        <v>1252</v>
      </c>
      <c r="C119" s="110">
        <v>18</v>
      </c>
      <c r="D119" s="110">
        <v>170</v>
      </c>
      <c r="E119" s="101" t="s">
        <v>5656</v>
      </c>
      <c r="F119" s="93"/>
      <c r="G119" s="93"/>
      <c r="H119" s="93"/>
    </row>
    <row r="120" spans="1:8" ht="16.5" customHeight="1">
      <c r="B120" s="99" t="s">
        <v>1253</v>
      </c>
      <c r="C120" s="110">
        <v>19</v>
      </c>
      <c r="D120" s="110">
        <v>166</v>
      </c>
      <c r="E120" s="101">
        <v>65</v>
      </c>
      <c r="F120" s="93"/>
      <c r="G120" s="93" t="s">
        <v>1456</v>
      </c>
      <c r="H120" s="104" t="s">
        <v>1238</v>
      </c>
    </row>
    <row r="121" spans="1:8" ht="16.5" customHeight="1">
      <c r="B121" s="105" t="s">
        <v>5651</v>
      </c>
      <c r="C121" s="113">
        <v>20</v>
      </c>
      <c r="D121" s="113">
        <v>163</v>
      </c>
      <c r="E121" s="107">
        <v>67</v>
      </c>
      <c r="F121" s="93"/>
      <c r="G121" s="93">
        <f>DMIN(B116:E121,E116,G117:H118)</f>
        <v>65</v>
      </c>
      <c r="H121" s="108" t="s">
        <v>5661</v>
      </c>
    </row>
    <row r="122" spans="1:8" ht="16.5" customHeight="1">
      <c r="B122" s="93"/>
      <c r="C122" s="93"/>
      <c r="D122" s="93"/>
      <c r="E122" s="93"/>
      <c r="F122" s="93"/>
      <c r="G122" s="93"/>
      <c r="H122" s="93"/>
    </row>
  </sheetData>
  <mergeCells count="38">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G18:H18"/>
    <mergeCell ref="A100:C100"/>
    <mergeCell ref="E100:F100"/>
    <mergeCell ref="A101:B101"/>
    <mergeCell ref="C101:M101"/>
    <mergeCell ref="A103:B103"/>
    <mergeCell ref="C103:M103"/>
    <mergeCell ref="A104:B104"/>
    <mergeCell ref="C104:M104"/>
    <mergeCell ref="A105:B105"/>
    <mergeCell ref="C105:M105"/>
    <mergeCell ref="G116:H116"/>
    <mergeCell ref="C106:M106"/>
    <mergeCell ref="C107:M107"/>
    <mergeCell ref="C108:M108"/>
    <mergeCell ref="B109:M109"/>
    <mergeCell ref="B110:M110"/>
    <mergeCell ref="B111:L111"/>
  </mergeCells>
  <phoneticPr fontId="2" type="noConversion"/>
  <pageMargins left="0.75" right="0.75" top="1" bottom="1" header="0.5" footer="0.5"/>
  <headerFooter scaleWithDoc="0"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M13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96</v>
      </c>
      <c r="B1" s="498"/>
      <c r="C1" s="499"/>
      <c r="D1" s="87"/>
      <c r="E1" s="500" t="str">
        <f>HYPERLINK("#目录!A57","跳转回到目录页")</f>
        <v>跳转回到目录页</v>
      </c>
      <c r="F1" s="501"/>
    </row>
    <row r="2" spans="1:13" s="88" customFormat="1" ht="26.25" customHeight="1">
      <c r="A2" s="502" t="s">
        <v>1216</v>
      </c>
      <c r="B2" s="502"/>
      <c r="C2" s="503" t="s">
        <v>1765</v>
      </c>
      <c r="D2" s="503"/>
      <c r="E2" s="503"/>
      <c r="F2" s="503"/>
      <c r="G2" s="503"/>
      <c r="H2" s="503"/>
      <c r="I2" s="503"/>
      <c r="J2" s="503"/>
      <c r="K2" s="503"/>
      <c r="L2" s="503"/>
      <c r="M2" s="503"/>
    </row>
    <row r="3" spans="1:13" s="88" customFormat="1" ht="16.5" customHeight="1">
      <c r="A3" s="496" t="s">
        <v>1217</v>
      </c>
      <c r="B3" s="496"/>
      <c r="C3" s="493" t="s">
        <v>1766</v>
      </c>
      <c r="D3" s="493"/>
      <c r="E3" s="493"/>
      <c r="F3" s="493"/>
      <c r="G3" s="493"/>
      <c r="H3" s="493"/>
      <c r="I3" s="493"/>
      <c r="J3" s="493"/>
      <c r="K3" s="493"/>
      <c r="L3" s="493"/>
      <c r="M3" s="493"/>
    </row>
    <row r="4" spans="1:13" s="88" customFormat="1" ht="16.5" customHeight="1">
      <c r="A4" s="496" t="s">
        <v>5786</v>
      </c>
      <c r="B4" s="496"/>
      <c r="C4" s="497" t="s">
        <v>1767</v>
      </c>
      <c r="D4" s="497"/>
      <c r="E4" s="497"/>
      <c r="F4" s="497"/>
      <c r="G4" s="497"/>
      <c r="H4" s="497"/>
      <c r="I4" s="497"/>
      <c r="J4" s="497"/>
      <c r="K4" s="497"/>
      <c r="L4" s="497"/>
      <c r="M4" s="497"/>
    </row>
    <row r="5" spans="1:13" s="88" customFormat="1" ht="16.5" customHeight="1">
      <c r="A5" s="496" t="s">
        <v>1220</v>
      </c>
      <c r="B5" s="496"/>
      <c r="C5" s="493" t="s">
        <v>1768</v>
      </c>
      <c r="D5" s="493"/>
      <c r="E5" s="493"/>
      <c r="F5" s="493"/>
      <c r="G5" s="493"/>
      <c r="H5" s="493"/>
      <c r="I5" s="493"/>
      <c r="J5" s="493"/>
      <c r="K5" s="493"/>
      <c r="L5" s="493"/>
      <c r="M5" s="493"/>
    </row>
    <row r="6" spans="1:13" s="88" customFormat="1" ht="16.5" customHeight="1">
      <c r="A6" s="496" t="s">
        <v>5785</v>
      </c>
      <c r="B6" s="496"/>
      <c r="C6" s="493" t="s">
        <v>1769</v>
      </c>
      <c r="D6" s="493"/>
      <c r="E6" s="493"/>
      <c r="F6" s="493"/>
      <c r="G6" s="493"/>
      <c r="H6" s="493"/>
      <c r="I6" s="493"/>
      <c r="J6" s="493"/>
      <c r="K6" s="493"/>
      <c r="L6" s="493"/>
      <c r="M6" s="493"/>
    </row>
    <row r="7" spans="1:13" s="88" customFormat="1" ht="16.5" customHeight="1">
      <c r="A7" s="89" t="s">
        <v>1223</v>
      </c>
      <c r="B7" s="92" t="s">
        <v>1672</v>
      </c>
      <c r="C7" s="493" t="s">
        <v>1770</v>
      </c>
      <c r="D7" s="493"/>
      <c r="E7" s="493"/>
      <c r="F7" s="493"/>
      <c r="G7" s="493"/>
      <c r="H7" s="493"/>
      <c r="I7" s="493"/>
      <c r="J7" s="493"/>
      <c r="K7" s="493"/>
      <c r="L7" s="493"/>
      <c r="M7" s="493"/>
    </row>
    <row r="8" spans="1:13" s="88" customFormat="1" ht="16.5" customHeight="1">
      <c r="A8" s="89"/>
      <c r="B8" s="92" t="s">
        <v>1674</v>
      </c>
      <c r="C8" s="493" t="s">
        <v>1771</v>
      </c>
      <c r="D8" s="493"/>
      <c r="E8" s="493"/>
      <c r="F8" s="493"/>
      <c r="G8" s="493"/>
      <c r="H8" s="493"/>
      <c r="I8" s="493"/>
      <c r="J8" s="493"/>
      <c r="K8" s="493"/>
      <c r="L8" s="493"/>
      <c r="M8" s="493"/>
    </row>
    <row r="9" spans="1:13" s="88" customFormat="1" ht="16.5" customHeight="1">
      <c r="A9" s="89" t="s">
        <v>1228</v>
      </c>
      <c r="B9" s="493"/>
      <c r="C9" s="493"/>
      <c r="D9" s="493"/>
      <c r="E9" s="493"/>
      <c r="F9" s="493"/>
      <c r="G9" s="493"/>
      <c r="H9" s="493"/>
      <c r="I9" s="493"/>
      <c r="J9" s="493"/>
      <c r="K9" s="493"/>
      <c r="L9" s="493"/>
      <c r="M9" s="493"/>
    </row>
    <row r="10" spans="1:13" ht="24.75" customHeight="1">
      <c r="A10" s="89" t="s">
        <v>1229</v>
      </c>
      <c r="B10" s="493" t="s">
        <v>1772</v>
      </c>
      <c r="C10" s="493"/>
      <c r="D10" s="493"/>
      <c r="E10" s="493"/>
      <c r="F10" s="493"/>
      <c r="G10" s="493"/>
      <c r="H10" s="493"/>
      <c r="I10" s="493"/>
      <c r="J10" s="493"/>
      <c r="K10" s="493"/>
      <c r="L10" s="493"/>
      <c r="M10" s="493"/>
    </row>
    <row r="11" spans="1:13" ht="21" customHeight="1">
      <c r="B11" s="494" t="s">
        <v>1231</v>
      </c>
      <c r="C11" s="494"/>
      <c r="D11" s="494"/>
      <c r="E11" s="494"/>
      <c r="F11" s="494"/>
      <c r="G11" s="494"/>
      <c r="H11" s="494"/>
      <c r="I11" s="494"/>
      <c r="J11" s="494"/>
      <c r="K11" s="494"/>
      <c r="L11" s="495"/>
    </row>
    <row r="12" spans="1:13" s="93" customFormat="1" ht="16.5" customHeight="1"/>
    <row r="13" spans="1:13" s="93" customFormat="1" ht="16.5" customHeight="1">
      <c r="A13" s="94" t="s">
        <v>1232</v>
      </c>
      <c r="B13" s="93" t="s">
        <v>1773</v>
      </c>
    </row>
    <row r="14" spans="1:13" s="93" customFormat="1" ht="16.5" customHeight="1"/>
    <row r="15" spans="1:13" s="93" customFormat="1" ht="16.5" customHeight="1">
      <c r="B15" s="575" t="s">
        <v>1649</v>
      </c>
      <c r="C15" s="576"/>
      <c r="D15" s="576"/>
      <c r="E15" s="577"/>
      <c r="F15" s="94"/>
    </row>
    <row r="16" spans="1:13" s="93" customFormat="1" ht="16.5" customHeight="1">
      <c r="B16" s="111" t="s">
        <v>1650</v>
      </c>
      <c r="C16" s="100" t="s">
        <v>1680</v>
      </c>
      <c r="D16" s="110" t="s">
        <v>1657</v>
      </c>
      <c r="E16" s="112" t="s">
        <v>1681</v>
      </c>
    </row>
    <row r="17" spans="1:8" s="93" customFormat="1" ht="16.5" customHeight="1">
      <c r="B17" s="99" t="s">
        <v>1651</v>
      </c>
      <c r="C17" s="110">
        <v>3</v>
      </c>
      <c r="D17" s="110">
        <v>139</v>
      </c>
      <c r="E17" s="101">
        <f>C17*D17</f>
        <v>417</v>
      </c>
      <c r="F17" s="288"/>
    </row>
    <row r="18" spans="1:8" s="93" customFormat="1" ht="16.5" customHeight="1">
      <c r="B18" s="99" t="s">
        <v>1652</v>
      </c>
      <c r="C18" s="110">
        <v>6</v>
      </c>
      <c r="D18" s="110">
        <v>35</v>
      </c>
      <c r="E18" s="101">
        <f t="shared" ref="E18:E25" si="0">C18*D18</f>
        <v>210</v>
      </c>
    </row>
    <row r="19" spans="1:8" s="93" customFormat="1" ht="16.5" customHeight="1">
      <c r="B19" s="99" t="s">
        <v>1653</v>
      </c>
      <c r="C19" s="110">
        <v>2</v>
      </c>
      <c r="D19" s="110">
        <v>186</v>
      </c>
      <c r="E19" s="101">
        <f t="shared" si="0"/>
        <v>372</v>
      </c>
    </row>
    <row r="20" spans="1:8" s="93" customFormat="1" ht="16.5" customHeight="1">
      <c r="B20" s="99" t="s">
        <v>1682</v>
      </c>
      <c r="C20" s="110">
        <v>5</v>
      </c>
      <c r="D20" s="110">
        <v>99</v>
      </c>
      <c r="E20" s="101">
        <f t="shared" si="0"/>
        <v>495</v>
      </c>
    </row>
    <row r="21" spans="1:8" s="93" customFormat="1" ht="16.5" customHeight="1">
      <c r="B21" s="99" t="s">
        <v>1654</v>
      </c>
      <c r="C21" s="110">
        <v>1</v>
      </c>
      <c r="D21" s="110">
        <v>358</v>
      </c>
      <c r="E21" s="101">
        <f t="shared" si="0"/>
        <v>358</v>
      </c>
    </row>
    <row r="22" spans="1:8" s="93" customFormat="1" ht="16.5" customHeight="1">
      <c r="A22" s="94"/>
      <c r="B22" s="99" t="s">
        <v>1655</v>
      </c>
      <c r="C22" s="110">
        <v>3</v>
      </c>
      <c r="D22" s="110">
        <v>139</v>
      </c>
      <c r="E22" s="101">
        <f t="shared" si="0"/>
        <v>417</v>
      </c>
    </row>
    <row r="23" spans="1:8" s="93" customFormat="1" ht="16.5" customHeight="1">
      <c r="B23" s="99" t="s">
        <v>1683</v>
      </c>
      <c r="C23" s="110">
        <v>8</v>
      </c>
      <c r="D23" s="110">
        <v>29</v>
      </c>
      <c r="E23" s="101">
        <f t="shared" si="0"/>
        <v>232</v>
      </c>
    </row>
    <row r="24" spans="1:8" s="93" customFormat="1" ht="16.5" customHeight="1">
      <c r="B24" s="99" t="s">
        <v>1684</v>
      </c>
      <c r="C24" s="110">
        <v>4</v>
      </c>
      <c r="D24" s="110">
        <v>209</v>
      </c>
      <c r="E24" s="101">
        <f t="shared" si="0"/>
        <v>836</v>
      </c>
      <c r="F24" s="94"/>
    </row>
    <row r="25" spans="1:8" s="93" customFormat="1" ht="16.5" customHeight="1">
      <c r="B25" s="99" t="s">
        <v>1656</v>
      </c>
      <c r="C25" s="110">
        <v>2</v>
      </c>
      <c r="D25" s="110">
        <v>169</v>
      </c>
      <c r="E25" s="101">
        <f t="shared" si="0"/>
        <v>338</v>
      </c>
    </row>
    <row r="26" spans="1:8" s="93" customFormat="1" ht="16.5" customHeight="1">
      <c r="B26" s="99"/>
      <c r="C26" s="110"/>
      <c r="D26" s="110"/>
      <c r="E26" s="101"/>
    </row>
    <row r="27" spans="1:8" s="93" customFormat="1" ht="16.5" customHeight="1">
      <c r="B27" s="105"/>
      <c r="C27" s="113"/>
      <c r="D27" s="113"/>
      <c r="E27" s="107"/>
    </row>
    <row r="28" spans="1:8" s="93" customFormat="1" ht="16.5" customHeight="1"/>
    <row r="29" spans="1:8" s="93" customFormat="1" ht="16.5" customHeight="1">
      <c r="B29" s="518" t="s">
        <v>1774</v>
      </c>
      <c r="C29" s="518"/>
      <c r="D29" s="518"/>
      <c r="E29" s="104" t="s">
        <v>1238</v>
      </c>
      <c r="H29" s="93" t="s">
        <v>27</v>
      </c>
    </row>
    <row r="30" spans="1:8" s="93" customFormat="1" ht="16.5" customHeight="1">
      <c r="C30" s="93">
        <v>200</v>
      </c>
      <c r="D30" s="93">
        <f>COUNTIF(D17:D27,"&gt;200")</f>
        <v>2</v>
      </c>
      <c r="E30" s="108" t="s">
        <v>1775</v>
      </c>
      <c r="H30" s="158" t="s">
        <v>1776</v>
      </c>
    </row>
    <row r="31" spans="1:8" s="93" customFormat="1" ht="16.5" customHeight="1">
      <c r="B31" s="518" t="s">
        <v>1777</v>
      </c>
      <c r="C31" s="518"/>
      <c r="D31" s="518"/>
      <c r="E31" s="104"/>
      <c r="H31" s="158"/>
    </row>
    <row r="32" spans="1:8" s="93" customFormat="1" ht="16.5" customHeight="1">
      <c r="A32" s="94"/>
      <c r="C32" s="93">
        <v>139</v>
      </c>
      <c r="D32" s="93">
        <f>COUNTIF(D17:D27,C32)</f>
        <v>2</v>
      </c>
      <c r="E32" s="108" t="s">
        <v>1778</v>
      </c>
      <c r="H32" s="158" t="s">
        <v>1779</v>
      </c>
    </row>
    <row r="33" spans="1:9" s="93" customFormat="1" ht="16.5" customHeight="1">
      <c r="B33" s="582" t="s">
        <v>1780</v>
      </c>
      <c r="C33" s="582"/>
      <c r="D33" s="582"/>
      <c r="E33" s="158"/>
      <c r="H33" s="158"/>
    </row>
    <row r="34" spans="1:9" s="93" customFormat="1" ht="16.5" customHeight="1">
      <c r="B34" s="94"/>
      <c r="C34" s="311"/>
      <c r="D34" s="288">
        <f>COUNTIF($C$17:$C$27,"&gt;="&amp;C20)</f>
        <v>3</v>
      </c>
      <c r="E34" s="108" t="s">
        <v>1781</v>
      </c>
      <c r="F34" s="94"/>
      <c r="H34" s="158" t="s">
        <v>1782</v>
      </c>
    </row>
    <row r="35" spans="1:9" s="93" customFormat="1" ht="16.5" customHeight="1">
      <c r="C35" s="312"/>
      <c r="E35" s="312"/>
      <c r="F35" s="94"/>
      <c r="H35" s="319"/>
    </row>
    <row r="36" spans="1:9" s="93" customFormat="1" ht="16.5" customHeight="1">
      <c r="C36" s="312"/>
      <c r="E36" s="312"/>
      <c r="F36" s="94"/>
    </row>
    <row r="37" spans="1:9" s="93" customFormat="1" ht="16.5" customHeight="1">
      <c r="C37" s="312"/>
      <c r="E37" s="312"/>
      <c r="F37" s="94"/>
    </row>
    <row r="38" spans="1:9" s="93" customFormat="1" ht="16.5" customHeight="1"/>
    <row r="39" spans="1:9" s="93" customFormat="1" ht="16.5" customHeight="1">
      <c r="C39" s="312"/>
    </row>
    <row r="40" spans="1:9" s="93" customFormat="1" ht="16.5" customHeight="1"/>
    <row r="41" spans="1:9" s="93" customFormat="1" ht="16.5" customHeight="1">
      <c r="A41" s="94" t="s">
        <v>1244</v>
      </c>
      <c r="B41" s="88" t="s">
        <v>1783</v>
      </c>
      <c r="C41" s="88"/>
      <c r="D41" s="88"/>
    </row>
    <row r="42" spans="1:9" s="93" customFormat="1" ht="16.5" customHeight="1"/>
    <row r="43" spans="1:9" s="93" customFormat="1" ht="16.5" customHeight="1">
      <c r="B43" s="575" t="s">
        <v>1649</v>
      </c>
      <c r="C43" s="576"/>
      <c r="D43" s="576"/>
      <c r="E43" s="577"/>
      <c r="G43" s="93" t="s">
        <v>1784</v>
      </c>
    </row>
    <row r="44" spans="1:9" s="93" customFormat="1" ht="16.5" customHeight="1">
      <c r="B44" s="111" t="s">
        <v>1650</v>
      </c>
      <c r="C44" s="100" t="s">
        <v>1680</v>
      </c>
      <c r="D44" s="110" t="s">
        <v>1657</v>
      </c>
      <c r="E44" s="112" t="s">
        <v>1681</v>
      </c>
      <c r="G44" s="93">
        <f>COUNTIF($D$45:$D$55,139)</f>
        <v>2</v>
      </c>
      <c r="I44" s="108" t="s">
        <v>1785</v>
      </c>
    </row>
    <row r="45" spans="1:9" s="93" customFormat="1" ht="16.5" customHeight="1">
      <c r="B45" s="99" t="s">
        <v>1651</v>
      </c>
      <c r="C45" s="110">
        <v>3</v>
      </c>
      <c r="D45" s="110">
        <v>139</v>
      </c>
      <c r="E45" s="101">
        <f>C45*D45</f>
        <v>417</v>
      </c>
      <c r="G45" s="93" t="s">
        <v>1786</v>
      </c>
      <c r="I45" s="158"/>
    </row>
    <row r="46" spans="1:9" s="93" customFormat="1" ht="16.5" customHeight="1">
      <c r="B46" s="99" t="s">
        <v>1652</v>
      </c>
      <c r="C46" s="110">
        <v>6</v>
      </c>
      <c r="D46" s="110">
        <v>35</v>
      </c>
      <c r="E46" s="101">
        <f t="shared" ref="E46:E54" si="1">C46*D46</f>
        <v>210</v>
      </c>
      <c r="G46" s="93">
        <f>COUNTIF($C$45:$C$55,"&lt;0")</f>
        <v>1</v>
      </c>
      <c r="I46" s="108" t="s">
        <v>1787</v>
      </c>
    </row>
    <row r="47" spans="1:9" s="93" customFormat="1" ht="16.5" customHeight="1">
      <c r="B47" s="99" t="s">
        <v>1653</v>
      </c>
      <c r="C47" s="110">
        <v>2</v>
      </c>
      <c r="D47" s="110">
        <v>186</v>
      </c>
      <c r="E47" s="101">
        <f t="shared" si="1"/>
        <v>372</v>
      </c>
      <c r="G47" s="93" t="s">
        <v>1788</v>
      </c>
      <c r="I47" s="158"/>
    </row>
    <row r="48" spans="1:9" s="93" customFormat="1" ht="16.5" customHeight="1">
      <c r="B48" s="99" t="s">
        <v>1682</v>
      </c>
      <c r="C48" s="110">
        <v>5</v>
      </c>
      <c r="D48" s="110">
        <v>99</v>
      </c>
      <c r="E48" s="101">
        <f t="shared" si="1"/>
        <v>495</v>
      </c>
      <c r="G48" s="93">
        <f>COUNTIF($C$45:$C$55,"&lt;&gt;0")</f>
        <v>11</v>
      </c>
      <c r="I48" s="108" t="s">
        <v>1789</v>
      </c>
    </row>
    <row r="49" spans="2:9" s="93" customFormat="1" ht="16.5" customHeight="1">
      <c r="B49" s="99" t="s">
        <v>1654</v>
      </c>
      <c r="C49" s="110">
        <v>1</v>
      </c>
      <c r="D49" s="110">
        <v>358</v>
      </c>
      <c r="E49" s="101">
        <f t="shared" si="1"/>
        <v>358</v>
      </c>
      <c r="G49" s="93" t="s">
        <v>1790</v>
      </c>
      <c r="I49" s="158"/>
    </row>
    <row r="50" spans="2:9" s="93" customFormat="1" ht="16.5" customHeight="1">
      <c r="B50" s="99" t="s">
        <v>1655</v>
      </c>
      <c r="C50" s="110">
        <v>3</v>
      </c>
      <c r="D50" s="110">
        <v>139</v>
      </c>
      <c r="E50" s="101">
        <f t="shared" si="1"/>
        <v>417</v>
      </c>
      <c r="G50" s="93">
        <f>COUNTIF($C$45:$C$55,"&gt;=5")</f>
        <v>3</v>
      </c>
      <c r="I50" s="108" t="s">
        <v>1791</v>
      </c>
    </row>
    <row r="51" spans="2:9" s="93" customFormat="1" ht="16.5" customHeight="1">
      <c r="B51" s="99" t="s">
        <v>1792</v>
      </c>
      <c r="C51" s="110">
        <v>8</v>
      </c>
      <c r="D51" s="110">
        <v>29</v>
      </c>
      <c r="E51" s="101">
        <f t="shared" si="1"/>
        <v>232</v>
      </c>
      <c r="G51" s="240" t="s">
        <v>1793</v>
      </c>
      <c r="I51" s="158"/>
    </row>
    <row r="52" spans="2:9" s="93" customFormat="1" ht="16.5" customHeight="1">
      <c r="B52" s="99" t="s">
        <v>1684</v>
      </c>
      <c r="C52" s="110">
        <v>4</v>
      </c>
      <c r="D52" s="110">
        <v>209</v>
      </c>
      <c r="E52" s="101">
        <f t="shared" si="1"/>
        <v>836</v>
      </c>
      <c r="G52" s="93">
        <f>COUNTIF($B$45:$B$55,B45)</f>
        <v>1</v>
      </c>
      <c r="I52" s="108" t="s">
        <v>1794</v>
      </c>
    </row>
    <row r="53" spans="2:9" s="93" customFormat="1" ht="16.5" customHeight="1">
      <c r="B53" s="99" t="s">
        <v>1656</v>
      </c>
      <c r="C53" s="110">
        <v>2</v>
      </c>
      <c r="D53" s="110">
        <v>169</v>
      </c>
      <c r="E53" s="101">
        <f t="shared" si="1"/>
        <v>338</v>
      </c>
      <c r="G53" s="240" t="s">
        <v>1795</v>
      </c>
      <c r="I53" s="158"/>
    </row>
    <row r="54" spans="2:9" s="93" customFormat="1" ht="16.5" customHeight="1">
      <c r="B54" s="99" t="s">
        <v>1683</v>
      </c>
      <c r="C54" s="110">
        <v>-1</v>
      </c>
      <c r="D54" s="110">
        <v>29</v>
      </c>
      <c r="E54" s="101">
        <f t="shared" si="1"/>
        <v>-29</v>
      </c>
      <c r="F54" s="93" t="s">
        <v>1796</v>
      </c>
      <c r="G54" s="93">
        <f>COUNTIF($E$45:$E$55,"&gt;"&amp;E45)</f>
        <v>2</v>
      </c>
      <c r="I54" s="108" t="s">
        <v>1797</v>
      </c>
    </row>
    <row r="55" spans="2:9" s="93" customFormat="1" ht="16.5" customHeight="1">
      <c r="B55" s="105"/>
      <c r="C55" s="113"/>
      <c r="D55" s="113"/>
      <c r="E55" s="107"/>
      <c r="G55" s="240" t="s">
        <v>1798</v>
      </c>
      <c r="I55" s="158"/>
    </row>
    <row r="56" spans="2:9" s="93" customFormat="1" ht="16.5" customHeight="1">
      <c r="E56" s="323">
        <f ca="1">TODAY()</f>
        <v>44973</v>
      </c>
      <c r="G56" s="93">
        <f>COUNTIF($B$45:$B$55,"*")</f>
        <v>10</v>
      </c>
      <c r="I56" s="108" t="s">
        <v>1799</v>
      </c>
    </row>
    <row r="57" spans="2:9" s="93" customFormat="1" ht="16.5" customHeight="1">
      <c r="G57" s="240" t="s">
        <v>1800</v>
      </c>
      <c r="I57" s="158"/>
    </row>
    <row r="58" spans="2:9" s="93" customFormat="1" ht="16.5" customHeight="1">
      <c r="B58" s="583" t="s">
        <v>1801</v>
      </c>
      <c r="C58" s="584"/>
      <c r="D58" s="584"/>
      <c r="E58" s="585"/>
      <c r="G58" s="93">
        <f>COUNTIF($B$45:$B$55,"??????")</f>
        <v>7</v>
      </c>
      <c r="I58" s="108" t="s">
        <v>1802</v>
      </c>
    </row>
    <row r="59" spans="2:9" s="93" customFormat="1" ht="16.5" customHeight="1">
      <c r="B59" s="324"/>
      <c r="C59" s="497" t="s">
        <v>1803</v>
      </c>
      <c r="D59" s="497"/>
      <c r="E59" s="579"/>
      <c r="G59" s="93" t="s">
        <v>1804</v>
      </c>
      <c r="I59" s="158"/>
    </row>
    <row r="60" spans="2:9" s="93" customFormat="1" ht="16.5" customHeight="1">
      <c r="B60" s="324" t="str">
        <f>""</f>
        <v/>
      </c>
      <c r="C60" s="497" t="s">
        <v>1805</v>
      </c>
      <c r="D60" s="497"/>
      <c r="E60" s="579"/>
      <c r="G60" s="93">
        <f>COUNTIF($B$45:$B$55,"*文胸*")</f>
        <v>5</v>
      </c>
      <c r="I60" s="108" t="s">
        <v>1806</v>
      </c>
    </row>
    <row r="61" spans="2:9" s="93" customFormat="1" ht="16.5" customHeight="1">
      <c r="B61" s="324" t="s">
        <v>1807</v>
      </c>
      <c r="C61" s="497" t="s">
        <v>1808</v>
      </c>
      <c r="D61" s="497"/>
      <c r="E61" s="579"/>
      <c r="G61" s="93" t="s">
        <v>1809</v>
      </c>
      <c r="I61" s="158"/>
    </row>
    <row r="62" spans="2:9" s="93" customFormat="1" ht="16.5" customHeight="1">
      <c r="B62" s="324" t="s">
        <v>1810</v>
      </c>
      <c r="C62" s="497" t="s">
        <v>1811</v>
      </c>
      <c r="D62" s="497"/>
      <c r="E62" s="579"/>
      <c r="G62" s="93">
        <f>COUNTIF($B$45:$B$55,"D*")</f>
        <v>1</v>
      </c>
      <c r="I62" s="108" t="s">
        <v>1812</v>
      </c>
    </row>
    <row r="63" spans="2:9" s="93" customFormat="1" ht="16.5" customHeight="1">
      <c r="B63" s="325">
        <v>158</v>
      </c>
      <c r="C63" s="580" t="s">
        <v>1813</v>
      </c>
      <c r="D63" s="580"/>
      <c r="E63" s="581"/>
      <c r="G63" s="93" t="s">
        <v>1814</v>
      </c>
      <c r="I63" s="158"/>
    </row>
    <row r="64" spans="2:9" s="93" customFormat="1" ht="16.5" customHeight="1">
      <c r="G64" s="93">
        <f ca="1">COUNTIF($E$45:$E$56,TODAY())</f>
        <v>1</v>
      </c>
      <c r="I64" s="108" t="s">
        <v>1815</v>
      </c>
    </row>
    <row r="65" spans="1:9" s="93" customFormat="1" ht="16.5" customHeight="1">
      <c r="G65" s="93" t="s">
        <v>1816</v>
      </c>
      <c r="I65" s="158"/>
    </row>
    <row r="66" spans="1:9" s="93" customFormat="1" ht="16.5" customHeight="1">
      <c r="G66" s="93">
        <f>COUNTIF($D$45:$D$55,"&gt;"&amp;AVERAGE($D$46:$D$55))</f>
        <v>4</v>
      </c>
      <c r="I66" s="108" t="s">
        <v>1817</v>
      </c>
    </row>
    <row r="67" spans="1:9" s="93" customFormat="1" ht="16.5" customHeight="1">
      <c r="G67" s="93" t="s">
        <v>1818</v>
      </c>
      <c r="I67" s="158"/>
    </row>
    <row r="68" spans="1:9" s="93" customFormat="1" ht="16.5" customHeight="1">
      <c r="G68" s="93">
        <f>COUNTIF($B$59:$B$63,"=")</f>
        <v>1</v>
      </c>
      <c r="I68" s="108" t="s">
        <v>1819</v>
      </c>
    </row>
    <row r="69" spans="1:9" s="93" customFormat="1" ht="16.5" customHeight="1">
      <c r="G69" s="93" t="s">
        <v>1820</v>
      </c>
      <c r="I69" s="158"/>
    </row>
    <row r="70" spans="1:9" s="93" customFormat="1" ht="16.5" customHeight="1">
      <c r="G70" s="93">
        <f>COUNTIF($B$59:$B$63,"&lt;&gt;")</f>
        <v>4</v>
      </c>
      <c r="I70" s="108" t="s">
        <v>1821</v>
      </c>
    </row>
    <row r="71" spans="1:9" s="93" customFormat="1" ht="16.5" customHeight="1">
      <c r="G71" s="93" t="s">
        <v>1822</v>
      </c>
    </row>
    <row r="72" spans="1:9" s="93" customFormat="1" ht="16.5" customHeight="1">
      <c r="G72" s="93">
        <f>COUNTIF($B$59:$B$63,"")</f>
        <v>2</v>
      </c>
      <c r="I72" s="108" t="s">
        <v>1823</v>
      </c>
    </row>
    <row r="73" spans="1:9" s="93" customFormat="1" ht="16.5" customHeight="1">
      <c r="G73" s="93" t="s">
        <v>1824</v>
      </c>
      <c r="I73" s="158" t="s">
        <v>1825</v>
      </c>
    </row>
    <row r="74" spans="1:9" s="93" customFormat="1" ht="16.5" customHeight="1">
      <c r="G74" s="93">
        <f>SUM(COUNTIF($C$45:$C$55,"&gt;"&amp;{-1,6})*{1,-1})</f>
        <v>8</v>
      </c>
      <c r="I74" s="108" t="s">
        <v>1826</v>
      </c>
    </row>
    <row r="75" spans="1:9" s="93" customFormat="1" ht="16.5" customHeight="1">
      <c r="I75" s="158"/>
    </row>
    <row r="76" spans="1:9" s="93" customFormat="1" ht="16.5" customHeight="1"/>
    <row r="77" spans="1:9" s="93" customFormat="1" ht="16.5" customHeight="1"/>
    <row r="78" spans="1:9" s="93" customFormat="1" ht="16.5" customHeight="1">
      <c r="A78" s="94" t="s">
        <v>1255</v>
      </c>
      <c r="B78" s="93" t="s">
        <v>1827</v>
      </c>
    </row>
    <row r="79" spans="1:9" s="93" customFormat="1" ht="16.5" customHeight="1"/>
    <row r="80" spans="1:9" s="93" customFormat="1" ht="16.5" customHeight="1">
      <c r="B80" s="575" t="s">
        <v>1649</v>
      </c>
      <c r="C80" s="576"/>
      <c r="D80" s="576"/>
      <c r="E80" s="577"/>
      <c r="G80" s="143" t="s">
        <v>1828</v>
      </c>
      <c r="H80" s="94"/>
    </row>
    <row r="81" spans="1:9" s="93" customFormat="1" ht="16.5" customHeight="1">
      <c r="B81" s="111" t="s">
        <v>1650</v>
      </c>
      <c r="C81" s="100" t="s">
        <v>1680</v>
      </c>
      <c r="D81" s="110" t="s">
        <v>1657</v>
      </c>
      <c r="E81" s="112" t="s">
        <v>1681</v>
      </c>
      <c r="G81" s="94" t="s">
        <v>1829</v>
      </c>
      <c r="H81" s="94" t="s">
        <v>1431</v>
      </c>
      <c r="I81" s="104" t="s">
        <v>1238</v>
      </c>
    </row>
    <row r="82" spans="1:9" s="93" customFormat="1" ht="16.5" customHeight="1">
      <c r="B82" s="99" t="s">
        <v>1720</v>
      </c>
      <c r="C82" s="110">
        <v>3</v>
      </c>
      <c r="D82" s="110">
        <v>139</v>
      </c>
      <c r="E82" s="101">
        <f>C82*D82</f>
        <v>417</v>
      </c>
      <c r="G82" s="94" t="s">
        <v>1720</v>
      </c>
      <c r="H82" s="94" t="str">
        <f>IF(COUNTIF($B$82:$B$92,G82)&gt;1,"发现重复","")</f>
        <v>发现重复</v>
      </c>
      <c r="I82" s="158" t="s">
        <v>1830</v>
      </c>
    </row>
    <row r="83" spans="1:9" s="93" customFormat="1" ht="16.5" customHeight="1">
      <c r="B83" s="99" t="s">
        <v>1721</v>
      </c>
      <c r="C83" s="110">
        <v>6</v>
      </c>
      <c r="D83" s="110">
        <v>35</v>
      </c>
      <c r="E83" s="101">
        <f t="shared" ref="E83:E91" si="2">C83*D83</f>
        <v>210</v>
      </c>
      <c r="G83" s="94"/>
      <c r="H83" s="94"/>
    </row>
    <row r="84" spans="1:9" s="93" customFormat="1" ht="16.5" customHeight="1">
      <c r="B84" s="99" t="s">
        <v>1720</v>
      </c>
      <c r="C84" s="110">
        <v>2</v>
      </c>
      <c r="D84" s="110">
        <v>186</v>
      </c>
      <c r="E84" s="101">
        <f t="shared" si="2"/>
        <v>372</v>
      </c>
      <c r="G84" s="143" t="s">
        <v>1831</v>
      </c>
      <c r="H84" s="94"/>
    </row>
    <row r="85" spans="1:9" s="93" customFormat="1" ht="16.5" customHeight="1">
      <c r="B85" s="99" t="s">
        <v>1720</v>
      </c>
      <c r="C85" s="110">
        <v>5</v>
      </c>
      <c r="D85" s="110">
        <v>99</v>
      </c>
      <c r="E85" s="101">
        <f t="shared" si="2"/>
        <v>495</v>
      </c>
      <c r="G85" s="94" t="s">
        <v>1829</v>
      </c>
      <c r="H85" s="94" t="s">
        <v>1431</v>
      </c>
      <c r="I85" s="104" t="s">
        <v>1238</v>
      </c>
    </row>
    <row r="86" spans="1:9" s="93" customFormat="1" ht="16.5" customHeight="1">
      <c r="B86" s="99" t="s">
        <v>1724</v>
      </c>
      <c r="C86" s="110">
        <v>1</v>
      </c>
      <c r="D86" s="110">
        <v>358</v>
      </c>
      <c r="E86" s="101">
        <f t="shared" si="2"/>
        <v>358</v>
      </c>
      <c r="G86" s="94" t="s">
        <v>1832</v>
      </c>
      <c r="H86" s="94" t="str">
        <f>IF(COUNTIF($B$82:$B$92,G86)=1,G86,"")</f>
        <v>D杯文胸</v>
      </c>
      <c r="I86" s="158" t="s">
        <v>1833</v>
      </c>
    </row>
    <row r="87" spans="1:9" s="93" customFormat="1" ht="16.5" customHeight="1">
      <c r="B87" s="99" t="s">
        <v>1720</v>
      </c>
      <c r="C87" s="110">
        <v>3</v>
      </c>
      <c r="D87" s="110">
        <v>139</v>
      </c>
      <c r="E87" s="101">
        <f t="shared" si="2"/>
        <v>417</v>
      </c>
      <c r="G87" s="94"/>
      <c r="H87" s="94"/>
      <c r="I87" s="158"/>
    </row>
    <row r="88" spans="1:9" s="93" customFormat="1" ht="16.5" customHeight="1">
      <c r="B88" s="99" t="s">
        <v>1832</v>
      </c>
      <c r="C88" s="110">
        <v>8</v>
      </c>
      <c r="D88" s="110">
        <v>29</v>
      </c>
      <c r="E88" s="101">
        <f t="shared" si="2"/>
        <v>232</v>
      </c>
      <c r="G88" s="143" t="s">
        <v>1834</v>
      </c>
      <c r="H88" s="94"/>
      <c r="I88" s="158"/>
    </row>
    <row r="89" spans="1:9" s="93" customFormat="1" ht="16.5" customHeight="1">
      <c r="B89" s="99" t="s">
        <v>1724</v>
      </c>
      <c r="C89" s="110">
        <v>4</v>
      </c>
      <c r="D89" s="110">
        <v>209</v>
      </c>
      <c r="E89" s="101">
        <f t="shared" si="2"/>
        <v>836</v>
      </c>
      <c r="G89" s="94" t="s">
        <v>1829</v>
      </c>
      <c r="H89" s="94" t="s">
        <v>1431</v>
      </c>
      <c r="I89" s="104" t="s">
        <v>1238</v>
      </c>
    </row>
    <row r="90" spans="1:9" s="93" customFormat="1" ht="16.5" customHeight="1">
      <c r="B90" s="99" t="s">
        <v>1725</v>
      </c>
      <c r="C90" s="110">
        <v>2</v>
      </c>
      <c r="D90" s="110">
        <v>169</v>
      </c>
      <c r="E90" s="101">
        <f t="shared" si="2"/>
        <v>338</v>
      </c>
      <c r="G90" s="94" t="s">
        <v>1835</v>
      </c>
      <c r="H90" s="94" t="str">
        <f>IF(COUNTIF($B$82:$B$92,G90)&lt;1,G90,"")</f>
        <v>E杯文胸</v>
      </c>
      <c r="I90" s="108" t="s">
        <v>1836</v>
      </c>
    </row>
    <row r="91" spans="1:9" s="93" customFormat="1" ht="16.5" customHeight="1">
      <c r="B91" s="99" t="s">
        <v>1721</v>
      </c>
      <c r="C91" s="110">
        <v>-1</v>
      </c>
      <c r="D91" s="110">
        <v>29</v>
      </c>
      <c r="E91" s="101">
        <f t="shared" si="2"/>
        <v>-29</v>
      </c>
      <c r="I91" s="158"/>
    </row>
    <row r="92" spans="1:9" s="93" customFormat="1" ht="16.5" customHeight="1">
      <c r="B92" s="105"/>
      <c r="C92" s="113"/>
      <c r="D92" s="113"/>
      <c r="E92" s="107"/>
    </row>
    <row r="93" spans="1:9" s="93" customFormat="1" ht="16.5" customHeight="1"/>
    <row r="94" spans="1:9" s="93" customFormat="1" ht="16.5" customHeight="1"/>
    <row r="95" spans="1:9" s="93" customFormat="1" ht="16.5" customHeight="1">
      <c r="A95" s="94" t="s">
        <v>1660</v>
      </c>
      <c r="B95" s="93" t="s">
        <v>5953</v>
      </c>
    </row>
    <row r="96" spans="1:9" s="93" customFormat="1" ht="16.5" customHeight="1">
      <c r="A96" s="4"/>
      <c r="I96" s="4"/>
    </row>
    <row r="97" spans="1:10" s="93" customFormat="1" ht="16.5" customHeight="1">
      <c r="A97" s="4"/>
      <c r="B97" s="93" t="s">
        <v>5954</v>
      </c>
      <c r="C97" s="92"/>
      <c r="D97" s="92"/>
      <c r="E97" s="92"/>
      <c r="F97" s="92"/>
      <c r="G97" s="92"/>
    </row>
    <row r="98" spans="1:10" s="93" customFormat="1" ht="16.5" customHeight="1">
      <c r="A98" s="4"/>
      <c r="B98" s="4"/>
      <c r="C98" s="4"/>
      <c r="D98" s="4"/>
      <c r="E98" s="4"/>
      <c r="I98" s="4"/>
    </row>
    <row r="99" spans="1:10" s="93" customFormat="1" ht="16.5" customHeight="1">
      <c r="A99" s="4"/>
      <c r="B99" s="4"/>
      <c r="C99" s="4"/>
      <c r="D99" s="4"/>
      <c r="E99" s="4"/>
    </row>
    <row r="100" spans="1:10" s="93" customFormat="1" ht="16.5" customHeight="1">
      <c r="A100" s="4"/>
      <c r="B100" s="565" t="s">
        <v>1837</v>
      </c>
      <c r="C100" s="565"/>
      <c r="D100" s="565"/>
      <c r="E100" s="565"/>
      <c r="F100" s="565"/>
      <c r="G100" s="4"/>
    </row>
    <row r="101" spans="1:10" s="93" customFormat="1" ht="16.5" customHeight="1">
      <c r="A101" s="4"/>
      <c r="B101" s="95" t="s">
        <v>1246</v>
      </c>
      <c r="C101" s="96" t="s">
        <v>1838</v>
      </c>
      <c r="D101" s="96" t="s">
        <v>1839</v>
      </c>
      <c r="E101" s="97" t="s">
        <v>1840</v>
      </c>
      <c r="F101" s="97" t="s">
        <v>1840</v>
      </c>
      <c r="G101" s="4"/>
      <c r="H101" s="4"/>
      <c r="I101" s="4"/>
      <c r="J101" s="4"/>
    </row>
    <row r="102" spans="1:10" s="93" customFormat="1" ht="16.5" customHeight="1">
      <c r="A102" s="4"/>
      <c r="B102" s="111" t="s">
        <v>1375</v>
      </c>
      <c r="C102" s="100"/>
      <c r="D102" s="100"/>
      <c r="E102" s="112" t="s">
        <v>1841</v>
      </c>
      <c r="F102" s="97" t="s">
        <v>1842</v>
      </c>
      <c r="G102" s="4"/>
      <c r="H102" s="4"/>
      <c r="I102" s="4"/>
      <c r="J102" s="4"/>
    </row>
    <row r="103" spans="1:10" s="93" customFormat="1" ht="16.5" customHeight="1">
      <c r="A103" s="4"/>
      <c r="B103" s="111" t="s">
        <v>1843</v>
      </c>
      <c r="C103" s="100" t="s">
        <v>1618</v>
      </c>
      <c r="D103" s="100" t="s">
        <v>1844</v>
      </c>
      <c r="E103" s="101">
        <v>95</v>
      </c>
      <c r="F103" s="101">
        <v>95</v>
      </c>
      <c r="G103" s="4"/>
      <c r="H103" s="4"/>
      <c r="I103" s="4"/>
      <c r="J103" s="4"/>
    </row>
    <row r="104" spans="1:10" s="93" customFormat="1" ht="16.5" customHeight="1">
      <c r="A104" s="4"/>
      <c r="B104" s="111" t="s">
        <v>1845</v>
      </c>
      <c r="C104" s="100" t="s">
        <v>1618</v>
      </c>
      <c r="D104" s="100" t="s">
        <v>1846</v>
      </c>
      <c r="E104" s="101">
        <v>86</v>
      </c>
      <c r="F104" s="101">
        <v>86</v>
      </c>
      <c r="G104" s="4"/>
      <c r="H104" s="4"/>
      <c r="I104" s="4"/>
      <c r="J104" s="4"/>
    </row>
    <row r="105" spans="1:10" s="93" customFormat="1" ht="16.5" customHeight="1">
      <c r="A105" s="4"/>
      <c r="B105" s="111" t="s">
        <v>1847</v>
      </c>
      <c r="C105" s="100" t="s">
        <v>1618</v>
      </c>
      <c r="D105" s="100" t="s">
        <v>1844</v>
      </c>
      <c r="E105" s="101">
        <v>91</v>
      </c>
      <c r="F105" s="101">
        <v>91</v>
      </c>
      <c r="G105" s="4"/>
      <c r="H105" s="4"/>
      <c r="I105" s="4"/>
      <c r="J105" s="4"/>
    </row>
    <row r="106" spans="1:10" s="93" customFormat="1" ht="16.5" customHeight="1">
      <c r="A106" s="4"/>
      <c r="B106" s="111" t="s">
        <v>1848</v>
      </c>
      <c r="C106" s="100" t="s">
        <v>1618</v>
      </c>
      <c r="D106" s="100" t="s">
        <v>1844</v>
      </c>
      <c r="E106" s="101">
        <v>98</v>
      </c>
      <c r="F106" s="101">
        <v>98</v>
      </c>
      <c r="G106" s="4"/>
      <c r="H106" s="4"/>
      <c r="I106" s="4"/>
      <c r="J106" s="4"/>
    </row>
    <row r="107" spans="1:10" s="93" customFormat="1" ht="16.5" customHeight="1">
      <c r="A107" s="4"/>
      <c r="B107" s="111" t="s">
        <v>1849</v>
      </c>
      <c r="C107" s="100" t="s">
        <v>1612</v>
      </c>
      <c r="D107" s="100" t="s">
        <v>1844</v>
      </c>
      <c r="E107" s="101"/>
      <c r="F107" s="101">
        <v>0</v>
      </c>
      <c r="G107" s="4"/>
      <c r="H107" s="4"/>
      <c r="I107" s="4"/>
      <c r="J107" s="4"/>
    </row>
    <row r="108" spans="1:10" s="93" customFormat="1" ht="16.5" customHeight="1">
      <c r="A108" s="4"/>
      <c r="B108" s="111" t="s">
        <v>1850</v>
      </c>
      <c r="C108" s="100" t="s">
        <v>1618</v>
      </c>
      <c r="D108" s="100" t="s">
        <v>1846</v>
      </c>
      <c r="E108" s="101">
        <v>90</v>
      </c>
      <c r="F108" s="101">
        <v>90</v>
      </c>
      <c r="G108" s="4"/>
      <c r="H108" s="4"/>
      <c r="I108" s="4"/>
      <c r="J108" s="4"/>
    </row>
    <row r="109" spans="1:10" s="93" customFormat="1" ht="16.5" customHeight="1">
      <c r="A109" s="4"/>
      <c r="B109" s="111" t="s">
        <v>1851</v>
      </c>
      <c r="C109" s="100" t="s">
        <v>1612</v>
      </c>
      <c r="D109" s="100" t="s">
        <v>1844</v>
      </c>
      <c r="E109" s="101"/>
      <c r="F109" s="101"/>
      <c r="G109" s="4"/>
      <c r="H109" s="4"/>
      <c r="I109" s="4"/>
      <c r="J109" s="4"/>
    </row>
    <row r="110" spans="1:10" s="93" customFormat="1" ht="16.5" customHeight="1">
      <c r="A110" s="4"/>
      <c r="B110" s="111" t="s">
        <v>1852</v>
      </c>
      <c r="C110" s="100" t="s">
        <v>1618</v>
      </c>
      <c r="D110" s="100" t="s">
        <v>1846</v>
      </c>
      <c r="E110" s="101">
        <v>96</v>
      </c>
      <c r="F110" s="101">
        <v>96</v>
      </c>
      <c r="G110" s="4"/>
      <c r="H110" s="4"/>
      <c r="I110" s="4"/>
      <c r="J110" s="4"/>
    </row>
    <row r="111" spans="1:10" s="93" customFormat="1" ht="16.5" customHeight="1">
      <c r="A111" s="4"/>
      <c r="B111" s="111" t="s">
        <v>1853</v>
      </c>
      <c r="C111" s="100" t="s">
        <v>1618</v>
      </c>
      <c r="D111" s="100" t="s">
        <v>1844</v>
      </c>
      <c r="E111" s="101">
        <v>94</v>
      </c>
      <c r="F111" s="101">
        <v>94</v>
      </c>
      <c r="G111" s="4"/>
      <c r="H111" s="4"/>
      <c r="I111" s="4"/>
      <c r="J111" s="4"/>
    </row>
    <row r="112" spans="1:10" s="93" customFormat="1" ht="16.5" customHeight="1">
      <c r="A112" s="4"/>
      <c r="B112" s="111" t="s">
        <v>1854</v>
      </c>
      <c r="C112" s="100" t="s">
        <v>1618</v>
      </c>
      <c r="D112" s="100" t="s">
        <v>1846</v>
      </c>
      <c r="E112" s="101">
        <v>93</v>
      </c>
      <c r="F112" s="101">
        <v>93</v>
      </c>
      <c r="G112" s="4"/>
      <c r="H112" s="4"/>
      <c r="I112" s="4"/>
      <c r="J112" s="4"/>
    </row>
    <row r="113" spans="1:10" s="93" customFormat="1" ht="16.5" customHeight="1">
      <c r="A113" s="4"/>
      <c r="B113" s="151" t="s">
        <v>1375</v>
      </c>
      <c r="C113" s="106"/>
      <c r="D113" s="106"/>
      <c r="E113" s="107"/>
      <c r="F113" s="107"/>
      <c r="G113" s="4"/>
      <c r="H113" s="4"/>
      <c r="I113" s="4"/>
      <c r="J113" s="4"/>
    </row>
    <row r="114" spans="1:10" s="93" customFormat="1" ht="16.5" customHeight="1">
      <c r="A114" s="4"/>
      <c r="B114" s="4"/>
      <c r="C114" s="4"/>
      <c r="D114" s="4"/>
      <c r="E114" s="4"/>
      <c r="F114" s="4"/>
      <c r="G114" s="4"/>
      <c r="H114" s="4"/>
      <c r="I114" s="4"/>
      <c r="J114" s="4"/>
    </row>
    <row r="115" spans="1:10" s="93" customFormat="1" ht="16.5" customHeight="1">
      <c r="A115" s="4"/>
      <c r="C115" s="4"/>
      <c r="D115" s="93" t="s">
        <v>1855</v>
      </c>
      <c r="H115" s="4"/>
      <c r="I115" s="4"/>
      <c r="J115" s="4"/>
    </row>
    <row r="116" spans="1:10" s="93" customFormat="1" ht="16.5" customHeight="1">
      <c r="A116" s="4"/>
      <c r="B116" s="4"/>
      <c r="C116" s="4"/>
      <c r="D116" s="4"/>
      <c r="E116" s="104" t="s">
        <v>1238</v>
      </c>
      <c r="H116" s="4"/>
      <c r="I116" s="4"/>
      <c r="J116" s="4"/>
    </row>
    <row r="117" spans="1:10" s="93" customFormat="1" ht="16.5" customHeight="1">
      <c r="A117" s="4"/>
      <c r="B117" s="4"/>
      <c r="C117" s="116" t="s">
        <v>1841</v>
      </c>
      <c r="D117" s="93">
        <f>SUMIF($E$103:$E$112,"&gt;0")/COUNTIF($E$103:$E$112,"&gt;0")</f>
        <v>92.875</v>
      </c>
      <c r="E117" s="108" t="s">
        <v>1856</v>
      </c>
      <c r="H117" s="4"/>
      <c r="I117" s="4"/>
      <c r="J117" s="4"/>
    </row>
    <row r="118" spans="1:10" s="93" customFormat="1" ht="16.5" customHeight="1">
      <c r="D118" s="93" t="s">
        <v>1857</v>
      </c>
      <c r="H118" s="4"/>
      <c r="I118" s="4"/>
      <c r="J118" s="4"/>
    </row>
    <row r="119" spans="1:10" s="93" customFormat="1" ht="16.5" customHeight="1">
      <c r="A119" s="4"/>
      <c r="B119" s="4"/>
      <c r="C119" s="116" t="s">
        <v>1858</v>
      </c>
      <c r="D119" s="93">
        <f>SUMIF($F$103:$F$112,"&gt;-1")/COUNTIF($F$103:$F$112,"&gt;-1")</f>
        <v>82.555555555555557</v>
      </c>
      <c r="E119" s="108" t="s">
        <v>1859</v>
      </c>
      <c r="H119" s="4"/>
      <c r="I119" s="4"/>
      <c r="J119" s="4"/>
    </row>
    <row r="120" spans="1:10" s="93" customFormat="1" ht="16.5" customHeight="1">
      <c r="A120" s="4"/>
      <c r="B120" s="4"/>
      <c r="H120" s="4"/>
      <c r="I120" s="4"/>
      <c r="J120" s="4"/>
    </row>
    <row r="121" spans="1:10" s="93" customFormat="1" ht="16.5" customHeight="1"/>
    <row r="122" spans="1:10" ht="16.5" customHeight="1">
      <c r="F122" s="155"/>
    </row>
    <row r="123" spans="1:10" ht="16.5" customHeight="1">
      <c r="A123" s="94" t="s">
        <v>1665</v>
      </c>
      <c r="B123" s="155" t="s">
        <v>1860</v>
      </c>
      <c r="F123" s="155"/>
      <c r="G123" s="18"/>
    </row>
    <row r="124" spans="1:10" ht="16.5" customHeight="1">
      <c r="F124" s="155"/>
    </row>
    <row r="125" spans="1:10" ht="16.5" customHeight="1">
      <c r="B125" s="578" t="s">
        <v>1861</v>
      </c>
      <c r="C125" s="578"/>
      <c r="D125" s="578"/>
    </row>
    <row r="126" spans="1:10" ht="16.5" customHeight="1">
      <c r="B126" s="95" t="s">
        <v>1246</v>
      </c>
      <c r="C126" s="96" t="s">
        <v>1838</v>
      </c>
      <c r="D126" s="96" t="s">
        <v>1839</v>
      </c>
      <c r="F126" s="94" t="s">
        <v>1431</v>
      </c>
      <c r="G126" s="104" t="s">
        <v>1238</v>
      </c>
      <c r="H126" s="93"/>
    </row>
    <row r="127" spans="1:10" ht="16.5" customHeight="1">
      <c r="B127" s="111" t="s">
        <v>1375</v>
      </c>
      <c r="C127" s="100"/>
      <c r="D127" s="100"/>
      <c r="F127" s="93">
        <f t="array" ref="F127">SUM(1/COUNTIF(D128:D137,D128:D137))</f>
        <v>2</v>
      </c>
      <c r="G127" s="108" t="s">
        <v>1862</v>
      </c>
      <c r="H127" s="93"/>
    </row>
    <row r="128" spans="1:10" ht="16.5" customHeight="1">
      <c r="B128" s="111" t="s">
        <v>1843</v>
      </c>
      <c r="C128" s="100" t="s">
        <v>1618</v>
      </c>
      <c r="D128" s="100" t="s">
        <v>1844</v>
      </c>
      <c r="F128" s="93" t="s">
        <v>1863</v>
      </c>
      <c r="G128" s="93"/>
      <c r="H128" s="93"/>
    </row>
    <row r="129" spans="2:8" ht="16.5" customHeight="1">
      <c r="B129" s="111" t="s">
        <v>1845</v>
      </c>
      <c r="C129" s="100" t="s">
        <v>1618</v>
      </c>
      <c r="D129" s="100" t="s">
        <v>1846</v>
      </c>
      <c r="F129" s="93" t="s">
        <v>5955</v>
      </c>
      <c r="G129" s="93"/>
      <c r="H129" s="93"/>
    </row>
    <row r="130" spans="2:8" ht="16.5" customHeight="1">
      <c r="B130" s="111" t="s">
        <v>1847</v>
      </c>
      <c r="C130" s="100" t="s">
        <v>1618</v>
      </c>
      <c r="D130" s="100" t="s">
        <v>1844</v>
      </c>
      <c r="F130" s="93" t="s">
        <v>1864</v>
      </c>
      <c r="G130" s="170"/>
      <c r="H130" s="93"/>
    </row>
    <row r="131" spans="2:8" ht="16.5" customHeight="1">
      <c r="B131" s="111" t="s">
        <v>1848</v>
      </c>
      <c r="C131" s="100" t="s">
        <v>1618</v>
      </c>
      <c r="D131" s="100" t="s">
        <v>1844</v>
      </c>
      <c r="F131" s="93" t="s">
        <v>1865</v>
      </c>
      <c r="G131" s="93"/>
      <c r="H131" s="93"/>
    </row>
    <row r="132" spans="2:8" ht="16.5" customHeight="1">
      <c r="B132" s="111" t="s">
        <v>1849</v>
      </c>
      <c r="C132" s="100" t="s">
        <v>1612</v>
      </c>
      <c r="D132" s="100" t="s">
        <v>1844</v>
      </c>
      <c r="F132" s="93" t="s">
        <v>1866</v>
      </c>
      <c r="G132" s="93"/>
      <c r="H132" s="93"/>
    </row>
    <row r="133" spans="2:8" ht="16.5" customHeight="1">
      <c r="B133" s="111" t="s">
        <v>1850</v>
      </c>
      <c r="C133" s="100" t="s">
        <v>1618</v>
      </c>
      <c r="D133" s="100" t="s">
        <v>1846</v>
      </c>
      <c r="G133" s="104" t="s">
        <v>1238</v>
      </c>
      <c r="H133" s="93"/>
    </row>
    <row r="134" spans="2:8" ht="16.5" customHeight="1">
      <c r="B134" s="111" t="s">
        <v>1851</v>
      </c>
      <c r="C134" s="100" t="s">
        <v>1612</v>
      </c>
      <c r="D134" s="100" t="s">
        <v>1844</v>
      </c>
      <c r="F134" s="93">
        <f t="array" ref="F134">SUM(IF(D128:D137&lt;&gt;"",1/COUNTIF(D128:D137,D128:D137)))</f>
        <v>2</v>
      </c>
      <c r="G134" s="108" t="s">
        <v>1867</v>
      </c>
      <c r="H134" s="93"/>
    </row>
    <row r="135" spans="2:8" ht="16.5" customHeight="1">
      <c r="B135" s="111" t="s">
        <v>1852</v>
      </c>
      <c r="C135" s="100" t="s">
        <v>1618</v>
      </c>
      <c r="D135" s="100" t="s">
        <v>1846</v>
      </c>
      <c r="G135" s="93"/>
      <c r="H135" s="93"/>
    </row>
    <row r="136" spans="2:8" ht="16.5" customHeight="1">
      <c r="B136" s="111" t="s">
        <v>1853</v>
      </c>
      <c r="C136" s="100" t="s">
        <v>1618</v>
      </c>
      <c r="D136" s="100" t="s">
        <v>1844</v>
      </c>
      <c r="F136" s="93"/>
      <c r="G136" s="170"/>
      <c r="H136" s="93"/>
    </row>
    <row r="137" spans="2:8" ht="16.5" customHeight="1">
      <c r="B137" s="111" t="s">
        <v>1854</v>
      </c>
      <c r="C137" s="100" t="s">
        <v>1618</v>
      </c>
      <c r="D137" s="100" t="s">
        <v>1846</v>
      </c>
      <c r="F137" s="93"/>
      <c r="G137" s="93"/>
      <c r="H137" s="93"/>
    </row>
    <row r="138" spans="2:8" ht="16.5" customHeight="1">
      <c r="B138" s="151" t="s">
        <v>1375</v>
      </c>
      <c r="C138" s="106"/>
      <c r="D138" s="106"/>
      <c r="F138" s="93"/>
      <c r="G138" s="93"/>
      <c r="H138" s="93"/>
    </row>
    <row r="139" spans="2:8" ht="16.5" customHeight="1"/>
  </sheetData>
  <mergeCells count="31">
    <mergeCell ref="A1:C1"/>
    <mergeCell ref="E1:F1"/>
    <mergeCell ref="A2:B2"/>
    <mergeCell ref="C2:M2"/>
    <mergeCell ref="A3:B3"/>
    <mergeCell ref="C3:M3"/>
    <mergeCell ref="A4:B4"/>
    <mergeCell ref="C4:M4"/>
    <mergeCell ref="A5:B5"/>
    <mergeCell ref="C5:M5"/>
    <mergeCell ref="A6:B6"/>
    <mergeCell ref="C6:M6"/>
    <mergeCell ref="C59:E59"/>
    <mergeCell ref="C7:M7"/>
    <mergeCell ref="C8:M8"/>
    <mergeCell ref="B9:M9"/>
    <mergeCell ref="B10:M10"/>
    <mergeCell ref="B11:L11"/>
    <mergeCell ref="B15:E15"/>
    <mergeCell ref="B29:D29"/>
    <mergeCell ref="B31:D31"/>
    <mergeCell ref="B33:D33"/>
    <mergeCell ref="B43:E43"/>
    <mergeCell ref="B58:E58"/>
    <mergeCell ref="B125:D125"/>
    <mergeCell ref="C60:E60"/>
    <mergeCell ref="C61:E61"/>
    <mergeCell ref="C62:E62"/>
    <mergeCell ref="C63:E63"/>
    <mergeCell ref="B80:E80"/>
    <mergeCell ref="B100:F100"/>
  </mergeCells>
  <phoneticPr fontId="2" type="noConversion"/>
  <pageMargins left="0.75" right="0.75" top="1" bottom="1" header="0.5" footer="0.5"/>
  <pageSetup paperSize="9" orientation="portrait" horizontalDpi="1200" verticalDpi="1200"/>
  <headerFooter scaleWithDoc="0" alignWithMargins="0"/>
  <legacy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0"/>
  <dimension ref="A1:AV225"/>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853</v>
      </c>
      <c r="B1" s="498"/>
      <c r="C1" s="499"/>
      <c r="D1" s="87"/>
      <c r="E1" s="500" t="str">
        <f>HYPERLINK("#目录!A501","跳转回到目录页")</f>
        <v>跳转回到目录页</v>
      </c>
      <c r="F1" s="501"/>
    </row>
    <row r="2" spans="1:48" s="88" customFormat="1" ht="26.25" customHeight="1">
      <c r="A2" s="502" t="s">
        <v>1216</v>
      </c>
      <c r="B2" s="502"/>
      <c r="C2" s="503" t="s">
        <v>699</v>
      </c>
      <c r="D2" s="503"/>
      <c r="E2" s="503"/>
      <c r="F2" s="503"/>
      <c r="G2" s="503"/>
      <c r="H2" s="503"/>
      <c r="I2" s="503"/>
      <c r="J2" s="503"/>
      <c r="K2" s="503"/>
      <c r="L2" s="503"/>
      <c r="M2" s="503"/>
    </row>
    <row r="3" spans="1:48" s="88" customFormat="1" ht="16.5" customHeight="1">
      <c r="A3" s="496" t="s">
        <v>1217</v>
      </c>
      <c r="B3" s="496"/>
      <c r="C3" s="493" t="s">
        <v>5662</v>
      </c>
      <c r="D3" s="493"/>
      <c r="E3" s="493"/>
      <c r="F3" s="493"/>
      <c r="G3" s="493"/>
      <c r="H3" s="493"/>
      <c r="I3" s="493"/>
      <c r="J3" s="493"/>
      <c r="K3" s="493"/>
      <c r="L3" s="493"/>
      <c r="M3" s="493"/>
    </row>
    <row r="4" spans="1:48" s="88" customFormat="1" ht="16.5" customHeight="1">
      <c r="A4" s="496" t="s">
        <v>5786</v>
      </c>
      <c r="B4" s="496"/>
      <c r="C4" s="497" t="s">
        <v>699</v>
      </c>
      <c r="D4" s="497"/>
      <c r="E4" s="497"/>
      <c r="F4" s="497"/>
      <c r="G4" s="497"/>
      <c r="H4" s="497"/>
      <c r="I4" s="497"/>
      <c r="J4" s="497"/>
      <c r="K4" s="497"/>
      <c r="L4" s="497"/>
      <c r="M4" s="497"/>
    </row>
    <row r="5" spans="1:48" s="88" customFormat="1" ht="16.5" customHeight="1">
      <c r="A5" s="496" t="s">
        <v>1220</v>
      </c>
      <c r="B5" s="496"/>
      <c r="C5" s="493" t="s">
        <v>5663</v>
      </c>
      <c r="D5" s="493"/>
      <c r="E5" s="493"/>
      <c r="F5" s="493"/>
      <c r="G5" s="493"/>
      <c r="H5" s="493"/>
      <c r="I5" s="493"/>
      <c r="J5" s="493"/>
      <c r="K5" s="493"/>
      <c r="L5" s="493"/>
      <c r="M5" s="493"/>
    </row>
    <row r="6" spans="1:48" s="88" customFormat="1" ht="16.5" customHeight="1">
      <c r="A6" s="496" t="s">
        <v>5785</v>
      </c>
      <c r="B6" s="496"/>
      <c r="C6" s="493" t="s">
        <v>5664</v>
      </c>
      <c r="D6" s="493"/>
      <c r="E6" s="493"/>
      <c r="F6" s="493"/>
      <c r="G6" s="493"/>
      <c r="H6" s="493"/>
      <c r="I6" s="493"/>
      <c r="J6" s="493"/>
      <c r="K6" s="493"/>
      <c r="L6" s="493"/>
      <c r="M6" s="493"/>
    </row>
    <row r="7" spans="1:48" s="88" customFormat="1" ht="24.75" customHeight="1">
      <c r="A7" s="89" t="s">
        <v>1223</v>
      </c>
      <c r="B7" s="92" t="s">
        <v>5620</v>
      </c>
      <c r="C7" s="493" t="s">
        <v>5621</v>
      </c>
      <c r="D7" s="493"/>
      <c r="E7" s="493"/>
      <c r="F7" s="493"/>
      <c r="G7" s="493"/>
      <c r="H7" s="493"/>
      <c r="I7" s="493"/>
      <c r="J7" s="493"/>
      <c r="K7" s="493"/>
      <c r="L7" s="493"/>
      <c r="M7" s="493"/>
    </row>
    <row r="8" spans="1:48" s="88" customFormat="1" ht="24.75" customHeight="1">
      <c r="A8" s="89"/>
      <c r="B8" s="92" t="s">
        <v>5622</v>
      </c>
      <c r="C8" s="493" t="s">
        <v>5623</v>
      </c>
      <c r="D8" s="493"/>
      <c r="E8" s="493"/>
      <c r="F8" s="493"/>
      <c r="G8" s="493"/>
      <c r="H8" s="493"/>
      <c r="I8" s="493"/>
      <c r="J8" s="493"/>
      <c r="K8" s="493"/>
      <c r="L8" s="493"/>
      <c r="M8" s="493"/>
    </row>
    <row r="9" spans="1:48" s="88" customFormat="1" ht="16.5" customHeight="1">
      <c r="A9" s="89"/>
      <c r="B9" s="90" t="s">
        <v>5624</v>
      </c>
      <c r="C9" s="493" t="s">
        <v>5625</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5" t="s">
        <v>1246</v>
      </c>
      <c r="C17" s="96" t="s">
        <v>1968</v>
      </c>
      <c r="D17" s="96" t="s">
        <v>5646</v>
      </c>
      <c r="E17" s="97" t="s">
        <v>5647</v>
      </c>
      <c r="G17" s="480" t="s">
        <v>1730</v>
      </c>
      <c r="H17" s="481"/>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t="s">
        <v>5648</v>
      </c>
      <c r="C18" s="110">
        <v>20</v>
      </c>
      <c r="D18" s="110">
        <v>190</v>
      </c>
      <c r="E18" s="101">
        <v>88</v>
      </c>
      <c r="G18" s="111" t="s">
        <v>1968</v>
      </c>
      <c r="H18" s="112" t="s">
        <v>5646</v>
      </c>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t="s">
        <v>1250</v>
      </c>
      <c r="C19" s="110">
        <v>18</v>
      </c>
      <c r="D19" s="110">
        <v>186</v>
      </c>
      <c r="E19" s="101">
        <v>75</v>
      </c>
      <c r="G19" s="105" t="s">
        <v>5649</v>
      </c>
      <c r="H19" s="107" t="s">
        <v>5650</v>
      </c>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t="s">
        <v>1252</v>
      </c>
      <c r="C20" s="110">
        <v>18</v>
      </c>
      <c r="D20" s="110">
        <v>170</v>
      </c>
      <c r="E20" s="101" t="s">
        <v>5656</v>
      </c>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t="s">
        <v>1253</v>
      </c>
      <c r="C21" s="110">
        <v>19</v>
      </c>
      <c r="D21" s="110">
        <v>166</v>
      </c>
      <c r="E21" s="101">
        <v>65</v>
      </c>
      <c r="G21" s="94" t="s">
        <v>1456</v>
      </c>
      <c r="H21" s="104" t="s">
        <v>1238</v>
      </c>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05" t="s">
        <v>5651</v>
      </c>
      <c r="C22" s="113">
        <v>20</v>
      </c>
      <c r="D22" s="113">
        <v>163</v>
      </c>
      <c r="E22" s="107">
        <v>67</v>
      </c>
      <c r="G22" s="93">
        <f>DSUM(B17:E22,E17,G18:H19)</f>
        <v>228</v>
      </c>
      <c r="H22" s="108" t="s">
        <v>5665</v>
      </c>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815</v>
      </c>
      <c r="B100" s="498"/>
      <c r="C100" s="499"/>
      <c r="D100" s="87"/>
      <c r="E100" s="500" t="str">
        <f>HYPERLINK("#目录!A502","跳转回到目录页")</f>
        <v>跳转回到目录页</v>
      </c>
      <c r="F100" s="501"/>
    </row>
    <row r="101" spans="1:13" s="88" customFormat="1" ht="26.25" customHeight="1">
      <c r="A101" s="502" t="s">
        <v>1216</v>
      </c>
      <c r="B101" s="502"/>
      <c r="C101" s="503" t="s">
        <v>700</v>
      </c>
      <c r="D101" s="503"/>
      <c r="E101" s="503"/>
      <c r="F101" s="503"/>
      <c r="G101" s="503"/>
      <c r="H101" s="503"/>
      <c r="I101" s="503"/>
      <c r="J101" s="503"/>
      <c r="K101" s="503"/>
      <c r="L101" s="503"/>
      <c r="M101" s="503"/>
    </row>
    <row r="102" spans="1:13" s="88" customFormat="1" ht="16.5" customHeight="1">
      <c r="A102" s="496" t="s">
        <v>1217</v>
      </c>
      <c r="B102" s="496"/>
      <c r="C102" s="493" t="s">
        <v>5666</v>
      </c>
      <c r="D102" s="493"/>
      <c r="E102" s="493"/>
      <c r="F102" s="493"/>
      <c r="G102" s="493"/>
      <c r="H102" s="493"/>
      <c r="I102" s="493"/>
      <c r="J102" s="493"/>
      <c r="K102" s="493"/>
      <c r="L102" s="493"/>
      <c r="M102" s="493"/>
    </row>
    <row r="103" spans="1:13" s="88" customFormat="1" ht="16.5" customHeight="1">
      <c r="A103" s="496" t="s">
        <v>5786</v>
      </c>
      <c r="B103" s="496"/>
      <c r="C103" s="497" t="s">
        <v>700</v>
      </c>
      <c r="D103" s="497"/>
      <c r="E103" s="497"/>
      <c r="F103" s="497"/>
      <c r="G103" s="497"/>
      <c r="H103" s="497"/>
      <c r="I103" s="497"/>
      <c r="J103" s="497"/>
      <c r="K103" s="497"/>
      <c r="L103" s="497"/>
      <c r="M103" s="497"/>
    </row>
    <row r="104" spans="1:13" s="88" customFormat="1" ht="16.5" customHeight="1">
      <c r="A104" s="496" t="s">
        <v>1220</v>
      </c>
      <c r="B104" s="496"/>
      <c r="C104" s="493" t="s">
        <v>5667</v>
      </c>
      <c r="D104" s="493"/>
      <c r="E104" s="493"/>
      <c r="F104" s="493"/>
      <c r="G104" s="493"/>
      <c r="H104" s="493"/>
      <c r="I104" s="493"/>
      <c r="J104" s="493"/>
      <c r="K104" s="493"/>
      <c r="L104" s="493"/>
      <c r="M104" s="493"/>
    </row>
    <row r="105" spans="1:13" s="88" customFormat="1" ht="16.5" customHeight="1">
      <c r="A105" s="496" t="s">
        <v>5785</v>
      </c>
      <c r="B105" s="496"/>
      <c r="C105" s="493" t="s">
        <v>5668</v>
      </c>
      <c r="D105" s="493"/>
      <c r="E105" s="493"/>
      <c r="F105" s="493"/>
      <c r="G105" s="493"/>
      <c r="H105" s="493"/>
      <c r="I105" s="493"/>
      <c r="J105" s="493"/>
      <c r="K105" s="493"/>
      <c r="L105" s="493"/>
      <c r="M105" s="493"/>
    </row>
    <row r="106" spans="1:13" s="88" customFormat="1" ht="24.75" customHeight="1">
      <c r="A106" s="89" t="s">
        <v>1223</v>
      </c>
      <c r="B106" s="92" t="s">
        <v>5620</v>
      </c>
      <c r="C106" s="493" t="s">
        <v>5621</v>
      </c>
      <c r="D106" s="493"/>
      <c r="E106" s="493"/>
      <c r="F106" s="493"/>
      <c r="G106" s="493"/>
      <c r="H106" s="493"/>
      <c r="I106" s="493"/>
      <c r="J106" s="493"/>
      <c r="K106" s="493"/>
      <c r="L106" s="493"/>
      <c r="M106" s="493"/>
    </row>
    <row r="107" spans="1:13" s="88" customFormat="1" ht="24.75" customHeight="1">
      <c r="A107" s="89"/>
      <c r="B107" s="92" t="s">
        <v>5622</v>
      </c>
      <c r="C107" s="493" t="s">
        <v>5623</v>
      </c>
      <c r="D107" s="493"/>
      <c r="E107" s="493"/>
      <c r="F107" s="493"/>
      <c r="G107" s="493"/>
      <c r="H107" s="493"/>
      <c r="I107" s="493"/>
      <c r="J107" s="493"/>
      <c r="K107" s="493"/>
      <c r="L107" s="493"/>
      <c r="M107" s="493"/>
    </row>
    <row r="108" spans="1:13" s="88" customFormat="1" ht="16.5" customHeight="1">
      <c r="A108" s="89"/>
      <c r="B108" s="90" t="s">
        <v>5624</v>
      </c>
      <c r="C108" s="493" t="s">
        <v>5625</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673"/>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8" s="93" customFormat="1" ht="16.5" customHeight="1">
      <c r="A113" s="94" t="s">
        <v>1232</v>
      </c>
      <c r="B113" s="93" t="s">
        <v>1773</v>
      </c>
    </row>
    <row r="114" spans="1:8" ht="16.5" customHeight="1"/>
    <row r="115" spans="1:8" ht="16.5" customHeight="1"/>
    <row r="116" spans="1:8" ht="16.5" customHeight="1">
      <c r="B116" s="93"/>
      <c r="C116" s="93"/>
      <c r="D116" s="93"/>
      <c r="E116" s="93"/>
      <c r="F116" s="93"/>
      <c r="G116" s="93"/>
      <c r="H116" s="93"/>
    </row>
    <row r="117" spans="1:8" ht="16.5" customHeight="1">
      <c r="B117" s="95" t="s">
        <v>1246</v>
      </c>
      <c r="C117" s="96" t="s">
        <v>1968</v>
      </c>
      <c r="D117" s="96" t="s">
        <v>5646</v>
      </c>
      <c r="E117" s="97" t="s">
        <v>5647</v>
      </c>
      <c r="F117" s="93"/>
      <c r="G117" s="480" t="s">
        <v>1730</v>
      </c>
      <c r="H117" s="481"/>
    </row>
    <row r="118" spans="1:8" ht="16.5" customHeight="1">
      <c r="B118" s="99" t="s">
        <v>5648</v>
      </c>
      <c r="C118" s="110">
        <v>20</v>
      </c>
      <c r="D118" s="110">
        <v>190</v>
      </c>
      <c r="E118" s="101">
        <v>88</v>
      </c>
      <c r="F118" s="93"/>
      <c r="G118" s="111" t="s">
        <v>1968</v>
      </c>
      <c r="H118" s="112" t="s">
        <v>5646</v>
      </c>
    </row>
    <row r="119" spans="1:8" ht="16.5" customHeight="1">
      <c r="B119" s="99" t="s">
        <v>1250</v>
      </c>
      <c r="C119" s="110">
        <v>18</v>
      </c>
      <c r="D119" s="110">
        <v>186</v>
      </c>
      <c r="E119" s="101">
        <v>75</v>
      </c>
      <c r="F119" s="93"/>
      <c r="G119" s="105" t="s">
        <v>5649</v>
      </c>
      <c r="H119" s="107" t="s">
        <v>5650</v>
      </c>
    </row>
    <row r="120" spans="1:8" ht="16.5" customHeight="1">
      <c r="B120" s="99" t="s">
        <v>1252</v>
      </c>
      <c r="C120" s="110">
        <v>18</v>
      </c>
      <c r="D120" s="110">
        <v>170</v>
      </c>
      <c r="E120" s="101" t="s">
        <v>5656</v>
      </c>
      <c r="F120" s="93"/>
      <c r="G120" s="93"/>
      <c r="H120" s="93"/>
    </row>
    <row r="121" spans="1:8" ht="16.5" customHeight="1">
      <c r="B121" s="99" t="s">
        <v>1253</v>
      </c>
      <c r="C121" s="110">
        <v>19</v>
      </c>
      <c r="D121" s="110">
        <v>166</v>
      </c>
      <c r="E121" s="101">
        <v>65</v>
      </c>
      <c r="F121" s="93"/>
      <c r="G121" s="94" t="s">
        <v>1456</v>
      </c>
      <c r="H121" s="104" t="s">
        <v>1238</v>
      </c>
    </row>
    <row r="122" spans="1:8" ht="16.5" customHeight="1">
      <c r="B122" s="105" t="s">
        <v>5651</v>
      </c>
      <c r="C122" s="113">
        <v>20</v>
      </c>
      <c r="D122" s="113">
        <v>163</v>
      </c>
      <c r="E122" s="107">
        <v>67</v>
      </c>
      <c r="F122" s="93"/>
      <c r="G122" s="93">
        <f>DAVERAGE(B117:E122,E117,G118:H119)</f>
        <v>76</v>
      </c>
      <c r="H122" s="108" t="s">
        <v>5669</v>
      </c>
    </row>
    <row r="123" spans="1:8" ht="16.5" customHeight="1">
      <c r="B123" s="93"/>
      <c r="C123" s="93"/>
      <c r="D123" s="93"/>
      <c r="E123" s="93"/>
      <c r="F123" s="93"/>
      <c r="G123" s="93"/>
      <c r="H123" s="93"/>
    </row>
    <row r="124" spans="1:8" ht="16.5" customHeight="1"/>
    <row r="200" spans="1:13" s="88" customFormat="1" ht="26.25" customHeight="1">
      <c r="A200" s="498" t="s">
        <v>847</v>
      </c>
      <c r="B200" s="498"/>
      <c r="C200" s="499"/>
      <c r="D200" s="87"/>
      <c r="E200" s="500" t="str">
        <f>HYPERLINK("#目录!A503","跳转回到目录页")</f>
        <v>跳转回到目录页</v>
      </c>
      <c r="F200" s="501"/>
    </row>
    <row r="201" spans="1:13" s="88" customFormat="1" ht="26.25" customHeight="1">
      <c r="A201" s="502" t="s">
        <v>1216</v>
      </c>
      <c r="B201" s="502"/>
      <c r="C201" s="503" t="s">
        <v>701</v>
      </c>
      <c r="D201" s="503"/>
      <c r="E201" s="503"/>
      <c r="F201" s="503"/>
      <c r="G201" s="503"/>
      <c r="H201" s="503"/>
      <c r="I201" s="503"/>
      <c r="J201" s="503"/>
      <c r="K201" s="503"/>
      <c r="L201" s="503"/>
      <c r="M201" s="503"/>
    </row>
    <row r="202" spans="1:13" s="88" customFormat="1" ht="16.5" customHeight="1">
      <c r="A202" s="496" t="s">
        <v>1217</v>
      </c>
      <c r="B202" s="496"/>
      <c r="C202" s="493" t="s">
        <v>5670</v>
      </c>
      <c r="D202" s="493"/>
      <c r="E202" s="493"/>
      <c r="F202" s="493"/>
      <c r="G202" s="493"/>
      <c r="H202" s="493"/>
      <c r="I202" s="493"/>
      <c r="J202" s="493"/>
      <c r="K202" s="493"/>
      <c r="L202" s="493"/>
      <c r="M202" s="493"/>
    </row>
    <row r="203" spans="1:13" s="88" customFormat="1" ht="16.5" customHeight="1">
      <c r="A203" s="496" t="s">
        <v>5786</v>
      </c>
      <c r="B203" s="496"/>
      <c r="C203" s="497" t="s">
        <v>701</v>
      </c>
      <c r="D203" s="497"/>
      <c r="E203" s="497"/>
      <c r="F203" s="497"/>
      <c r="G203" s="497"/>
      <c r="H203" s="497"/>
      <c r="I203" s="497"/>
      <c r="J203" s="497"/>
      <c r="K203" s="497"/>
      <c r="L203" s="497"/>
      <c r="M203" s="497"/>
    </row>
    <row r="204" spans="1:13" s="88" customFormat="1" ht="16.5" customHeight="1">
      <c r="A204" s="496" t="s">
        <v>1220</v>
      </c>
      <c r="B204" s="496"/>
      <c r="C204" s="493" t="s">
        <v>5671</v>
      </c>
      <c r="D204" s="493"/>
      <c r="E204" s="493"/>
      <c r="F204" s="493"/>
      <c r="G204" s="493"/>
      <c r="H204" s="493"/>
      <c r="I204" s="493"/>
      <c r="J204" s="493"/>
      <c r="K204" s="493"/>
      <c r="L204" s="493"/>
      <c r="M204" s="493"/>
    </row>
    <row r="205" spans="1:13" s="88" customFormat="1" ht="16.5" customHeight="1">
      <c r="A205" s="496" t="s">
        <v>5785</v>
      </c>
      <c r="B205" s="496"/>
      <c r="C205" s="493" t="s">
        <v>5672</v>
      </c>
      <c r="D205" s="493"/>
      <c r="E205" s="493"/>
      <c r="F205" s="493"/>
      <c r="G205" s="493"/>
      <c r="H205" s="493"/>
      <c r="I205" s="493"/>
      <c r="J205" s="493"/>
      <c r="K205" s="493"/>
      <c r="L205" s="493"/>
      <c r="M205" s="493"/>
    </row>
    <row r="206" spans="1:13" s="88" customFormat="1" ht="24.75" customHeight="1">
      <c r="A206" s="89" t="s">
        <v>1223</v>
      </c>
      <c r="B206" s="92" t="s">
        <v>5620</v>
      </c>
      <c r="C206" s="493" t="s">
        <v>5621</v>
      </c>
      <c r="D206" s="493"/>
      <c r="E206" s="493"/>
      <c r="F206" s="493"/>
      <c r="G206" s="493"/>
      <c r="H206" s="493"/>
      <c r="I206" s="493"/>
      <c r="J206" s="493"/>
      <c r="K206" s="493"/>
      <c r="L206" s="493"/>
      <c r="M206" s="493"/>
    </row>
    <row r="207" spans="1:13" s="88" customFormat="1" ht="24.75" customHeight="1">
      <c r="A207" s="89"/>
      <c r="B207" s="92" t="s">
        <v>5622</v>
      </c>
      <c r="C207" s="493" t="s">
        <v>5623</v>
      </c>
      <c r="D207" s="493"/>
      <c r="E207" s="493"/>
      <c r="F207" s="493"/>
      <c r="G207" s="493"/>
      <c r="H207" s="493"/>
      <c r="I207" s="493"/>
      <c r="J207" s="493"/>
      <c r="K207" s="493"/>
      <c r="L207" s="493"/>
      <c r="M207" s="493"/>
    </row>
    <row r="208" spans="1:13" s="88" customFormat="1" ht="16.5" customHeight="1">
      <c r="A208" s="89"/>
      <c r="B208" s="90" t="s">
        <v>5624</v>
      </c>
      <c r="C208" s="493" t="s">
        <v>5625</v>
      </c>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673"/>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B214" s="93"/>
      <c r="C214" s="93"/>
      <c r="D214" s="93"/>
      <c r="E214" s="93"/>
      <c r="F214" s="93"/>
      <c r="G214" s="93"/>
      <c r="H214" s="93"/>
      <c r="I214" s="93"/>
      <c r="J214" s="93"/>
      <c r="K214" s="93"/>
      <c r="L214" s="93"/>
    </row>
    <row r="215" spans="1:13" ht="16.5" customHeight="1">
      <c r="B215" s="93"/>
      <c r="C215" s="93"/>
      <c r="D215" s="93"/>
      <c r="E215" s="93"/>
      <c r="F215" s="93"/>
      <c r="G215" s="93"/>
      <c r="H215" s="93"/>
      <c r="I215" s="93"/>
      <c r="J215" s="93"/>
      <c r="K215" s="93"/>
      <c r="L215" s="93"/>
    </row>
    <row r="216" spans="1:13" ht="16.5" customHeight="1">
      <c r="B216" s="95" t="s">
        <v>1650</v>
      </c>
      <c r="C216" s="96" t="s">
        <v>5673</v>
      </c>
      <c r="D216" s="96" t="s">
        <v>5674</v>
      </c>
      <c r="E216" s="97" t="s">
        <v>2058</v>
      </c>
      <c r="F216" s="93"/>
      <c r="G216" s="480" t="s">
        <v>1730</v>
      </c>
      <c r="H216" s="506"/>
      <c r="I216" s="481"/>
      <c r="J216" s="93"/>
      <c r="K216" s="93"/>
      <c r="L216" s="93"/>
    </row>
    <row r="217" spans="1:13" ht="16.5" customHeight="1">
      <c r="B217" s="99" t="s">
        <v>5640</v>
      </c>
      <c r="C217" s="110">
        <v>20</v>
      </c>
      <c r="D217" s="110">
        <v>0.12</v>
      </c>
      <c r="E217" s="101">
        <v>224</v>
      </c>
      <c r="F217" s="93"/>
      <c r="G217" s="111" t="s">
        <v>1650</v>
      </c>
      <c r="H217" s="100" t="s">
        <v>5673</v>
      </c>
      <c r="I217" s="112" t="s">
        <v>5674</v>
      </c>
      <c r="J217" s="93"/>
      <c r="K217" s="93"/>
      <c r="L217" s="93"/>
    </row>
    <row r="218" spans="1:13" ht="16.5" customHeight="1">
      <c r="B218" s="99" t="s">
        <v>5675</v>
      </c>
      <c r="C218" s="110">
        <v>10</v>
      </c>
      <c r="D218" s="110">
        <v>0.25</v>
      </c>
      <c r="E218" s="101">
        <v>130</v>
      </c>
      <c r="F218" s="93"/>
      <c r="G218" s="105" t="s">
        <v>5676</v>
      </c>
      <c r="H218" s="113" t="s">
        <v>5677</v>
      </c>
      <c r="I218" s="107" t="s">
        <v>5678</v>
      </c>
      <c r="J218" s="93"/>
      <c r="K218" s="93"/>
      <c r="L218" s="93"/>
    </row>
    <row r="219" spans="1:13" ht="16.5" customHeight="1">
      <c r="B219" s="99" t="s">
        <v>5679</v>
      </c>
      <c r="C219" s="110">
        <v>2</v>
      </c>
      <c r="D219" s="110">
        <v>0.4</v>
      </c>
      <c r="E219" s="101">
        <v>140</v>
      </c>
      <c r="F219" s="93"/>
      <c r="G219" s="93"/>
      <c r="H219" s="93"/>
      <c r="I219" s="93"/>
      <c r="J219" s="93"/>
      <c r="K219" s="93"/>
      <c r="L219" s="93"/>
    </row>
    <row r="220" spans="1:13" ht="16.5" customHeight="1">
      <c r="B220" s="99" t="s">
        <v>5676</v>
      </c>
      <c r="C220" s="110">
        <v>5</v>
      </c>
      <c r="D220" s="110">
        <v>0.28000000000000003</v>
      </c>
      <c r="E220" s="101">
        <v>135</v>
      </c>
      <c r="F220" s="93"/>
      <c r="G220" s="94" t="s">
        <v>1456</v>
      </c>
      <c r="H220" s="104" t="s">
        <v>1238</v>
      </c>
      <c r="I220" s="93"/>
      <c r="J220" s="93"/>
      <c r="K220" s="93"/>
      <c r="L220" s="93"/>
    </row>
    <row r="221" spans="1:13" ht="16.5" customHeight="1">
      <c r="B221" s="105" t="s">
        <v>5680</v>
      </c>
      <c r="C221" s="113">
        <v>1.5</v>
      </c>
      <c r="D221" s="113">
        <v>0.45</v>
      </c>
      <c r="E221" s="107">
        <v>125</v>
      </c>
      <c r="F221" s="93"/>
      <c r="G221" s="93">
        <f>DPRODUCT(B216:E221,E216,G217:I218)</f>
        <v>135</v>
      </c>
      <c r="H221" s="108" t="s">
        <v>5681</v>
      </c>
      <c r="I221" s="93"/>
      <c r="J221" s="93"/>
      <c r="K221" s="93"/>
      <c r="L221" s="93"/>
    </row>
    <row r="222" spans="1:13" ht="16.5" customHeight="1">
      <c r="B222" s="93"/>
      <c r="C222" s="93"/>
      <c r="D222" s="93"/>
      <c r="E222" s="93"/>
      <c r="F222" s="93"/>
      <c r="G222" s="93"/>
      <c r="H222" s="93"/>
      <c r="I222" s="93"/>
      <c r="J222" s="93"/>
      <c r="K222" s="93"/>
      <c r="L222" s="93"/>
    </row>
    <row r="223" spans="1:13">
      <c r="B223" s="93"/>
      <c r="C223" s="93"/>
      <c r="D223" s="93"/>
      <c r="E223" s="93"/>
      <c r="F223" s="93"/>
      <c r="G223" s="93"/>
      <c r="H223" s="93"/>
      <c r="I223" s="93"/>
      <c r="J223" s="93"/>
      <c r="K223" s="93"/>
      <c r="L223" s="93"/>
    </row>
    <row r="224" spans="1:13">
      <c r="B224" s="93"/>
      <c r="C224" s="93"/>
      <c r="D224" s="93"/>
      <c r="E224" s="93"/>
      <c r="F224" s="93"/>
      <c r="G224" s="93"/>
      <c r="H224" s="93"/>
      <c r="I224" s="93"/>
      <c r="J224" s="93"/>
      <c r="K224" s="93"/>
      <c r="L224" s="93"/>
    </row>
    <row r="225" spans="2:12">
      <c r="B225" s="93"/>
      <c r="C225" s="93"/>
      <c r="D225" s="93"/>
      <c r="E225" s="93"/>
      <c r="F225" s="93"/>
      <c r="G225" s="93"/>
      <c r="H225" s="93"/>
      <c r="I225" s="93"/>
      <c r="J225" s="93"/>
      <c r="K225" s="93"/>
      <c r="L225" s="93"/>
    </row>
  </sheetData>
  <mergeCells count="57">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G17:H17"/>
    <mergeCell ref="A100:C100"/>
    <mergeCell ref="E100:F100"/>
    <mergeCell ref="A101:B101"/>
    <mergeCell ref="C101:M101"/>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G117:H117"/>
    <mergeCell ref="A200:C200"/>
    <mergeCell ref="E200:F200"/>
    <mergeCell ref="A201:B201"/>
    <mergeCell ref="C201:M201"/>
    <mergeCell ref="A203:B203"/>
    <mergeCell ref="C203:M203"/>
    <mergeCell ref="A204:B204"/>
    <mergeCell ref="C204:M204"/>
    <mergeCell ref="A205:B205"/>
    <mergeCell ref="C205:M205"/>
    <mergeCell ref="G216:I216"/>
    <mergeCell ref="C206:M206"/>
    <mergeCell ref="C207:M207"/>
    <mergeCell ref="C208:M208"/>
    <mergeCell ref="B209:M209"/>
    <mergeCell ref="B210:M210"/>
    <mergeCell ref="B211:L211"/>
  </mergeCells>
  <phoneticPr fontId="2" type="noConversion"/>
  <pageMargins left="0.75" right="0.75" top="1" bottom="1" header="0.5" footer="0.5"/>
  <headerFooter scaleWithDoc="0"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1"/>
  <dimension ref="A1:AV4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835</v>
      </c>
      <c r="B1" s="498"/>
      <c r="C1" s="499"/>
      <c r="D1" s="87"/>
      <c r="E1" s="500" t="str">
        <f>HYPERLINK("#目录!A505","跳转回到目录页")</f>
        <v>跳转回到目录页</v>
      </c>
      <c r="F1" s="501"/>
    </row>
    <row r="2" spans="1:48" s="88" customFormat="1" ht="26.25" customHeight="1">
      <c r="A2" s="502" t="s">
        <v>1216</v>
      </c>
      <c r="B2" s="502"/>
      <c r="C2" s="503" t="s">
        <v>702</v>
      </c>
      <c r="D2" s="503"/>
      <c r="E2" s="503"/>
      <c r="F2" s="503"/>
      <c r="G2" s="503"/>
      <c r="H2" s="503"/>
      <c r="I2" s="503"/>
      <c r="J2" s="503"/>
      <c r="K2" s="503"/>
      <c r="L2" s="503"/>
      <c r="M2" s="503"/>
    </row>
    <row r="3" spans="1:48" s="88" customFormat="1" ht="16.5" customHeight="1">
      <c r="A3" s="496" t="s">
        <v>1217</v>
      </c>
      <c r="B3" s="496"/>
      <c r="C3" s="493" t="s">
        <v>5682</v>
      </c>
      <c r="D3" s="493"/>
      <c r="E3" s="493"/>
      <c r="F3" s="493"/>
      <c r="G3" s="493"/>
      <c r="H3" s="493"/>
      <c r="I3" s="493"/>
      <c r="J3" s="493"/>
      <c r="K3" s="493"/>
      <c r="L3" s="493"/>
      <c r="M3" s="493"/>
    </row>
    <row r="4" spans="1:48" s="88" customFormat="1" ht="16.5" customHeight="1">
      <c r="A4" s="496" t="s">
        <v>5786</v>
      </c>
      <c r="B4" s="496"/>
      <c r="C4" s="497" t="s">
        <v>702</v>
      </c>
      <c r="D4" s="497"/>
      <c r="E4" s="497"/>
      <c r="F4" s="497"/>
      <c r="G4" s="497"/>
      <c r="H4" s="497"/>
      <c r="I4" s="497"/>
      <c r="J4" s="497"/>
      <c r="K4" s="497"/>
      <c r="L4" s="497"/>
      <c r="M4" s="497"/>
    </row>
    <row r="5" spans="1:48" s="88" customFormat="1" ht="16.5" customHeight="1">
      <c r="A5" s="496" t="s">
        <v>1220</v>
      </c>
      <c r="B5" s="496"/>
      <c r="C5" s="493" t="s">
        <v>5683</v>
      </c>
      <c r="D5" s="493"/>
      <c r="E5" s="493"/>
      <c r="F5" s="493"/>
      <c r="G5" s="493"/>
      <c r="H5" s="493"/>
      <c r="I5" s="493"/>
      <c r="J5" s="493"/>
      <c r="K5" s="493"/>
      <c r="L5" s="493"/>
      <c r="M5" s="493"/>
    </row>
    <row r="6" spans="1:48" s="88" customFormat="1" ht="16.5" customHeight="1">
      <c r="A6" s="496" t="s">
        <v>5785</v>
      </c>
      <c r="B6" s="496"/>
      <c r="C6" s="493" t="s">
        <v>5684</v>
      </c>
      <c r="D6" s="493"/>
      <c r="E6" s="493"/>
      <c r="F6" s="493"/>
      <c r="G6" s="493"/>
      <c r="H6" s="493"/>
      <c r="I6" s="493"/>
      <c r="J6" s="493"/>
      <c r="K6" s="493"/>
      <c r="L6" s="493"/>
      <c r="M6" s="493"/>
    </row>
    <row r="7" spans="1:48" s="88" customFormat="1" ht="24.75" customHeight="1">
      <c r="A7" s="89" t="s">
        <v>1223</v>
      </c>
      <c r="B7" s="92" t="s">
        <v>5620</v>
      </c>
      <c r="C7" s="493" t="s">
        <v>5621</v>
      </c>
      <c r="D7" s="493"/>
      <c r="E7" s="493"/>
      <c r="F7" s="493"/>
      <c r="G7" s="493"/>
      <c r="H7" s="493"/>
      <c r="I7" s="493"/>
      <c r="J7" s="493"/>
      <c r="K7" s="493"/>
      <c r="L7" s="493"/>
      <c r="M7" s="493"/>
    </row>
    <row r="8" spans="1:48" s="88" customFormat="1" ht="24.75" customHeight="1">
      <c r="A8" s="89"/>
      <c r="B8" s="92" t="s">
        <v>5622</v>
      </c>
      <c r="C8" s="493" t="s">
        <v>5623</v>
      </c>
      <c r="D8" s="493"/>
      <c r="E8" s="493"/>
      <c r="F8" s="493"/>
      <c r="G8" s="493"/>
      <c r="H8" s="493"/>
      <c r="I8" s="493"/>
      <c r="J8" s="493"/>
      <c r="K8" s="493"/>
      <c r="L8" s="493"/>
      <c r="M8" s="493"/>
    </row>
    <row r="9" spans="1:48" s="88" customFormat="1" ht="16.5" customHeight="1">
      <c r="A9" s="89"/>
      <c r="B9" s="90" t="s">
        <v>5624</v>
      </c>
      <c r="C9" s="493" t="s">
        <v>5625</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24.75" customHeight="1">
      <c r="A11" s="89" t="s">
        <v>1229</v>
      </c>
      <c r="B11" s="673" t="s">
        <v>5685</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1246</v>
      </c>
      <c r="C18" s="96" t="s">
        <v>1968</v>
      </c>
      <c r="D18" s="96" t="s">
        <v>5646</v>
      </c>
      <c r="E18" s="97" t="s">
        <v>5647</v>
      </c>
      <c r="G18" s="480" t="s">
        <v>1730</v>
      </c>
      <c r="H18" s="48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t="s">
        <v>5648</v>
      </c>
      <c r="C19" s="110">
        <v>20</v>
      </c>
      <c r="D19" s="110">
        <v>190</v>
      </c>
      <c r="E19" s="101">
        <v>88</v>
      </c>
      <c r="G19" s="111" t="s">
        <v>1968</v>
      </c>
      <c r="H19" s="112" t="s">
        <v>5646</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t="s">
        <v>1250</v>
      </c>
      <c r="C20" s="110">
        <v>18</v>
      </c>
      <c r="D20" s="110">
        <v>186</v>
      </c>
      <c r="E20" s="101">
        <v>75</v>
      </c>
      <c r="G20" s="105" t="s">
        <v>5686</v>
      </c>
      <c r="H20" s="107" t="s">
        <v>5687</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t="s">
        <v>1252</v>
      </c>
      <c r="C21" s="110">
        <v>18</v>
      </c>
      <c r="D21" s="110">
        <v>170</v>
      </c>
      <c r="E21" s="10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t="s">
        <v>1253</v>
      </c>
      <c r="C22" s="110">
        <v>19</v>
      </c>
      <c r="D22" s="110">
        <v>166</v>
      </c>
      <c r="E22" s="101">
        <v>65</v>
      </c>
      <c r="G22" s="94" t="s">
        <v>1456</v>
      </c>
      <c r="H22" s="104" t="s">
        <v>1238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05" t="s">
        <v>5651</v>
      </c>
      <c r="C23" s="113">
        <v>20</v>
      </c>
      <c r="D23" s="113">
        <v>163</v>
      </c>
      <c r="E23" s="107">
        <v>67</v>
      </c>
      <c r="G23" s="93" t="str">
        <f>DGET(B18:E23,B18,G19:H20)</f>
        <v>赵六</v>
      </c>
      <c r="H23" s="108" t="s">
        <v>5688</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sheetData>
  <mergeCells count="19">
    <mergeCell ref="A1:C1"/>
    <mergeCell ref="E1:F1"/>
    <mergeCell ref="A2:B2"/>
    <mergeCell ref="C2:M2"/>
    <mergeCell ref="A3:B3"/>
    <mergeCell ref="C3:M3"/>
    <mergeCell ref="A4:B4"/>
    <mergeCell ref="C4:M4"/>
    <mergeCell ref="A5:B5"/>
    <mergeCell ref="C5:M5"/>
    <mergeCell ref="A6:B6"/>
    <mergeCell ref="C6:M6"/>
    <mergeCell ref="G18:H18"/>
    <mergeCell ref="C7:M7"/>
    <mergeCell ref="C8:M8"/>
    <mergeCell ref="C9:M9"/>
    <mergeCell ref="B10:M10"/>
    <mergeCell ref="B11:M11"/>
    <mergeCell ref="B12:L12"/>
  </mergeCells>
  <phoneticPr fontId="2" type="noConversion"/>
  <pageMargins left="0.75" right="0.75" top="1" bottom="1" header="0.5" footer="0.5"/>
  <headerFooter scaleWithDoc="0"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2"/>
  <dimension ref="A1:AV123"/>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857</v>
      </c>
      <c r="B1" s="498"/>
      <c r="C1" s="499"/>
      <c r="D1" s="87"/>
      <c r="E1" s="500" t="str">
        <f>HYPERLINK("#目录!A507","跳转回到目录页")</f>
        <v>跳转回到目录页</v>
      </c>
      <c r="F1" s="501"/>
    </row>
    <row r="2" spans="1:48" s="88" customFormat="1" ht="26.25" customHeight="1">
      <c r="A2" s="502" t="s">
        <v>1216</v>
      </c>
      <c r="B2" s="502"/>
      <c r="C2" s="503" t="s">
        <v>704</v>
      </c>
      <c r="D2" s="503"/>
      <c r="E2" s="503"/>
      <c r="F2" s="503"/>
      <c r="G2" s="503"/>
      <c r="H2" s="503"/>
      <c r="I2" s="503"/>
      <c r="J2" s="503"/>
      <c r="K2" s="503"/>
      <c r="L2" s="503"/>
      <c r="M2" s="503"/>
    </row>
    <row r="3" spans="1:48" s="88" customFormat="1" ht="16.5" customHeight="1">
      <c r="A3" s="496" t="s">
        <v>1217</v>
      </c>
      <c r="B3" s="496"/>
      <c r="C3" s="493" t="s">
        <v>5689</v>
      </c>
      <c r="D3" s="493"/>
      <c r="E3" s="493"/>
      <c r="F3" s="493"/>
      <c r="G3" s="493"/>
      <c r="H3" s="493"/>
      <c r="I3" s="493"/>
      <c r="J3" s="493"/>
      <c r="K3" s="493"/>
      <c r="L3" s="493"/>
      <c r="M3" s="493"/>
    </row>
    <row r="4" spans="1:48" s="88" customFormat="1" ht="16.5" customHeight="1">
      <c r="A4" s="496" t="s">
        <v>5786</v>
      </c>
      <c r="B4" s="496"/>
      <c r="C4" s="497" t="s">
        <v>704</v>
      </c>
      <c r="D4" s="497"/>
      <c r="E4" s="497"/>
      <c r="F4" s="497"/>
      <c r="G4" s="497"/>
      <c r="H4" s="497"/>
      <c r="I4" s="497"/>
      <c r="J4" s="497"/>
      <c r="K4" s="497"/>
      <c r="L4" s="497"/>
      <c r="M4" s="497"/>
    </row>
    <row r="5" spans="1:48" s="88" customFormat="1" ht="16.5" customHeight="1">
      <c r="A5" s="496" t="s">
        <v>1220</v>
      </c>
      <c r="B5" s="496"/>
      <c r="C5" s="493" t="s">
        <v>5690</v>
      </c>
      <c r="D5" s="493"/>
      <c r="E5" s="493"/>
      <c r="F5" s="493"/>
      <c r="G5" s="493"/>
      <c r="H5" s="493"/>
      <c r="I5" s="493"/>
      <c r="J5" s="493"/>
      <c r="K5" s="493"/>
      <c r="L5" s="493"/>
      <c r="M5" s="493"/>
    </row>
    <row r="6" spans="1:48" s="88" customFormat="1" ht="16.5" customHeight="1">
      <c r="A6" s="496" t="s">
        <v>5785</v>
      </c>
      <c r="B6" s="496"/>
      <c r="C6" s="493" t="s">
        <v>5691</v>
      </c>
      <c r="D6" s="493"/>
      <c r="E6" s="493"/>
      <c r="F6" s="493"/>
      <c r="G6" s="493"/>
      <c r="H6" s="493"/>
      <c r="I6" s="493"/>
      <c r="J6" s="493"/>
      <c r="K6" s="493"/>
      <c r="L6" s="493"/>
      <c r="M6" s="493"/>
    </row>
    <row r="7" spans="1:48" s="88" customFormat="1" ht="24.75" customHeight="1">
      <c r="A7" s="89" t="s">
        <v>1223</v>
      </c>
      <c r="B7" s="92" t="s">
        <v>5620</v>
      </c>
      <c r="C7" s="493" t="s">
        <v>5621</v>
      </c>
      <c r="D7" s="493"/>
      <c r="E7" s="493"/>
      <c r="F7" s="493"/>
      <c r="G7" s="493"/>
      <c r="H7" s="493"/>
      <c r="I7" s="493"/>
      <c r="J7" s="493"/>
      <c r="K7" s="493"/>
      <c r="L7" s="493"/>
      <c r="M7" s="493"/>
    </row>
    <row r="8" spans="1:48" s="88" customFormat="1" ht="24.75" customHeight="1">
      <c r="A8" s="89"/>
      <c r="B8" s="92" t="s">
        <v>5622</v>
      </c>
      <c r="C8" s="493" t="s">
        <v>5623</v>
      </c>
      <c r="D8" s="493"/>
      <c r="E8" s="493"/>
      <c r="F8" s="493"/>
      <c r="G8" s="493"/>
      <c r="H8" s="493"/>
      <c r="I8" s="493"/>
      <c r="J8" s="493"/>
      <c r="K8" s="493"/>
      <c r="L8" s="493"/>
      <c r="M8" s="493"/>
    </row>
    <row r="9" spans="1:48" s="88" customFormat="1" ht="16.5" customHeight="1">
      <c r="A9" s="89"/>
      <c r="B9" s="90" t="s">
        <v>5624</v>
      </c>
      <c r="C9" s="493" t="s">
        <v>5625</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5" t="s">
        <v>1246</v>
      </c>
      <c r="C17" s="96" t="s">
        <v>5692</v>
      </c>
      <c r="D17" s="97" t="s">
        <v>5646</v>
      </c>
      <c r="E17" s="94"/>
      <c r="G17" s="98" t="s">
        <v>1730</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t="s">
        <v>5648</v>
      </c>
      <c r="C18" s="100" t="s">
        <v>5693</v>
      </c>
      <c r="D18" s="101">
        <v>185</v>
      </c>
      <c r="G18" s="102" t="s">
        <v>5692</v>
      </c>
      <c r="H18" s="9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t="s">
        <v>1250</v>
      </c>
      <c r="C19" s="100" t="s">
        <v>3007</v>
      </c>
      <c r="D19" s="101">
        <v>170</v>
      </c>
      <c r="G19" s="103" t="s">
        <v>3007</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t="s">
        <v>1252</v>
      </c>
      <c r="C20" s="100" t="s">
        <v>3007</v>
      </c>
      <c r="D20" s="101">
        <v>190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t="s">
        <v>1253</v>
      </c>
      <c r="C21" s="100" t="s">
        <v>4346</v>
      </c>
      <c r="D21" s="101">
        <v>163</v>
      </c>
      <c r="G21" s="94" t="s">
        <v>1456</v>
      </c>
      <c r="H21" s="104" t="s">
        <v>1238</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05" t="s">
        <v>5651</v>
      </c>
      <c r="C22" s="106" t="s">
        <v>3007</v>
      </c>
      <c r="D22" s="107">
        <v>163</v>
      </c>
      <c r="G22" s="93">
        <f>DVAR(B17:D22,D17,G18:G19)</f>
        <v>196.33333333333331</v>
      </c>
      <c r="H22" s="108" t="s">
        <v>5694</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859</v>
      </c>
      <c r="B100" s="498"/>
      <c r="C100" s="499"/>
      <c r="D100" s="87"/>
      <c r="E100" s="500" t="str">
        <f>HYPERLINK("#目录!A508","跳转回到目录页")</f>
        <v>跳转回到目录页</v>
      </c>
      <c r="F100" s="501"/>
    </row>
    <row r="101" spans="1:13" s="88" customFormat="1" ht="26.25" customHeight="1">
      <c r="A101" s="502" t="s">
        <v>1216</v>
      </c>
      <c r="B101" s="502"/>
      <c r="C101" s="503" t="s">
        <v>705</v>
      </c>
      <c r="D101" s="503"/>
      <c r="E101" s="503"/>
      <c r="F101" s="503"/>
      <c r="G101" s="503"/>
      <c r="H101" s="503"/>
      <c r="I101" s="503"/>
      <c r="J101" s="503"/>
      <c r="K101" s="503"/>
      <c r="L101" s="503"/>
      <c r="M101" s="503"/>
    </row>
    <row r="102" spans="1:13" s="88" customFormat="1" ht="16.5" customHeight="1">
      <c r="A102" s="496" t="s">
        <v>1217</v>
      </c>
      <c r="B102" s="496"/>
      <c r="C102" s="493" t="s">
        <v>5695</v>
      </c>
      <c r="D102" s="493"/>
      <c r="E102" s="493"/>
      <c r="F102" s="493"/>
      <c r="G102" s="493"/>
      <c r="H102" s="493"/>
      <c r="I102" s="493"/>
      <c r="J102" s="493"/>
      <c r="K102" s="493"/>
      <c r="L102" s="493"/>
      <c r="M102" s="493"/>
    </row>
    <row r="103" spans="1:13" s="88" customFormat="1" ht="16.5" customHeight="1">
      <c r="A103" s="496" t="s">
        <v>5786</v>
      </c>
      <c r="B103" s="496"/>
      <c r="C103" s="497" t="s">
        <v>5805</v>
      </c>
      <c r="D103" s="497"/>
      <c r="E103" s="497"/>
      <c r="F103" s="497"/>
      <c r="G103" s="497"/>
      <c r="H103" s="497"/>
      <c r="I103" s="497"/>
      <c r="J103" s="497"/>
      <c r="K103" s="497"/>
      <c r="L103" s="497"/>
      <c r="M103" s="497"/>
    </row>
    <row r="104" spans="1:13" s="88" customFormat="1" ht="16.5" customHeight="1">
      <c r="A104" s="496" t="s">
        <v>1220</v>
      </c>
      <c r="B104" s="496"/>
      <c r="C104" s="493" t="s">
        <v>5696</v>
      </c>
      <c r="D104" s="493"/>
      <c r="E104" s="493"/>
      <c r="F104" s="493"/>
      <c r="G104" s="493"/>
      <c r="H104" s="493"/>
      <c r="I104" s="493"/>
      <c r="J104" s="493"/>
      <c r="K104" s="493"/>
      <c r="L104" s="493"/>
      <c r="M104" s="493"/>
    </row>
    <row r="105" spans="1:13" s="88" customFormat="1" ht="16.5" customHeight="1">
      <c r="A105" s="496" t="s">
        <v>5785</v>
      </c>
      <c r="B105" s="496"/>
      <c r="C105" s="493" t="s">
        <v>5697</v>
      </c>
      <c r="D105" s="493"/>
      <c r="E105" s="493"/>
      <c r="F105" s="493"/>
      <c r="G105" s="493"/>
      <c r="H105" s="493"/>
      <c r="I105" s="493"/>
      <c r="J105" s="493"/>
      <c r="K105" s="493"/>
      <c r="L105" s="493"/>
      <c r="M105" s="493"/>
    </row>
    <row r="106" spans="1:13" s="88" customFormat="1" ht="24.75" customHeight="1">
      <c r="A106" s="89" t="s">
        <v>1223</v>
      </c>
      <c r="B106" s="92" t="s">
        <v>5620</v>
      </c>
      <c r="C106" s="493" t="s">
        <v>5621</v>
      </c>
      <c r="D106" s="493"/>
      <c r="E106" s="493"/>
      <c r="F106" s="493"/>
      <c r="G106" s="493"/>
      <c r="H106" s="493"/>
      <c r="I106" s="493"/>
      <c r="J106" s="493"/>
      <c r="K106" s="493"/>
      <c r="L106" s="493"/>
      <c r="M106" s="493"/>
    </row>
    <row r="107" spans="1:13" s="88" customFormat="1" ht="24.75" customHeight="1">
      <c r="A107" s="89"/>
      <c r="B107" s="92" t="s">
        <v>5622</v>
      </c>
      <c r="C107" s="493" t="s">
        <v>5623</v>
      </c>
      <c r="D107" s="493"/>
      <c r="E107" s="493"/>
      <c r="F107" s="493"/>
      <c r="G107" s="493"/>
      <c r="H107" s="493"/>
      <c r="I107" s="493"/>
      <c r="J107" s="493"/>
      <c r="K107" s="493"/>
      <c r="L107" s="493"/>
      <c r="M107" s="493"/>
    </row>
    <row r="108" spans="1:13" s="88" customFormat="1" ht="16.5" customHeight="1">
      <c r="A108" s="89"/>
      <c r="B108" s="90" t="s">
        <v>5624</v>
      </c>
      <c r="C108" s="493" t="s">
        <v>5625</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673"/>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s="93" customFormat="1" ht="16.5" customHeight="1">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pans="1:48" s="93" customFormat="1" ht="16.5" customHeight="1">
      <c r="B116" s="95" t="s">
        <v>1246</v>
      </c>
      <c r="C116" s="96" t="s">
        <v>5692</v>
      </c>
      <c r="D116" s="97" t="s">
        <v>5646</v>
      </c>
      <c r="E116" s="94"/>
      <c r="G116" s="98" t="s">
        <v>1730</v>
      </c>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spans="1:48" s="93" customFormat="1" ht="16.5" customHeight="1">
      <c r="B117" s="99" t="s">
        <v>5648</v>
      </c>
      <c r="C117" s="100" t="s">
        <v>5693</v>
      </c>
      <c r="D117" s="101">
        <v>185</v>
      </c>
      <c r="G117" s="102" t="s">
        <v>5692</v>
      </c>
      <c r="H117" s="9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row>
    <row r="118" spans="1:48" s="93" customFormat="1" ht="16.5" customHeight="1">
      <c r="B118" s="99" t="s">
        <v>1250</v>
      </c>
      <c r="C118" s="100" t="s">
        <v>3007</v>
      </c>
      <c r="D118" s="101">
        <v>170</v>
      </c>
      <c r="G118" s="103" t="s">
        <v>3007</v>
      </c>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pans="1:48" s="93" customFormat="1" ht="16.5" customHeight="1">
      <c r="B119" s="99" t="s">
        <v>1252</v>
      </c>
      <c r="C119" s="100" t="s">
        <v>3007</v>
      </c>
      <c r="D119" s="101">
        <v>190</v>
      </c>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spans="1:48" s="93" customFormat="1" ht="16.5" customHeight="1">
      <c r="B120" s="99" t="s">
        <v>1253</v>
      </c>
      <c r="C120" s="100" t="s">
        <v>4346</v>
      </c>
      <c r="D120" s="101">
        <v>163</v>
      </c>
      <c r="G120" s="94" t="s">
        <v>1456</v>
      </c>
      <c r="H120" s="104" t="s">
        <v>1238</v>
      </c>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1" spans="1:48" s="93" customFormat="1" ht="16.5" customHeight="1">
      <c r="B121" s="105" t="s">
        <v>5651</v>
      </c>
      <c r="C121" s="106" t="s">
        <v>3007</v>
      </c>
      <c r="D121" s="107">
        <v>163</v>
      </c>
      <c r="G121" s="93">
        <f>DVARP(B116:D121,D116,G117:G118)</f>
        <v>130.88888888888889</v>
      </c>
      <c r="H121" s="108" t="s">
        <v>5698</v>
      </c>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row>
    <row r="122" spans="1:48" s="93" customFormat="1" ht="16.5" customHeight="1">
      <c r="A122" s="9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row>
    <row r="123" spans="1:48" s="93" customFormat="1" ht="16.5" customHeight="1">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AV126"/>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849</v>
      </c>
      <c r="B1" s="498"/>
      <c r="C1" s="499"/>
      <c r="D1" s="87"/>
      <c r="E1" s="500" t="str">
        <f>HYPERLINK("#目录!A510","跳转回到目录页")</f>
        <v>跳转回到目录页</v>
      </c>
      <c r="F1" s="501"/>
    </row>
    <row r="2" spans="1:48" s="88" customFormat="1" ht="26.25" customHeight="1">
      <c r="A2" s="502" t="s">
        <v>1216</v>
      </c>
      <c r="B2" s="502"/>
      <c r="C2" s="503" t="s">
        <v>707</v>
      </c>
      <c r="D2" s="503"/>
      <c r="E2" s="503"/>
      <c r="F2" s="503"/>
      <c r="G2" s="503"/>
      <c r="H2" s="503"/>
      <c r="I2" s="503"/>
      <c r="J2" s="503"/>
      <c r="K2" s="503"/>
      <c r="L2" s="503"/>
      <c r="M2" s="503"/>
    </row>
    <row r="3" spans="1:48" s="88" customFormat="1" ht="16.5" customHeight="1">
      <c r="A3" s="496" t="s">
        <v>1217</v>
      </c>
      <c r="B3" s="496"/>
      <c r="C3" s="493" t="s">
        <v>5699</v>
      </c>
      <c r="D3" s="493"/>
      <c r="E3" s="493"/>
      <c r="F3" s="493"/>
      <c r="G3" s="493"/>
      <c r="H3" s="493"/>
      <c r="I3" s="493"/>
      <c r="J3" s="493"/>
      <c r="K3" s="493"/>
      <c r="L3" s="493"/>
      <c r="M3" s="493"/>
    </row>
    <row r="4" spans="1:48" s="88" customFormat="1" ht="16.5" customHeight="1">
      <c r="A4" s="496" t="s">
        <v>5786</v>
      </c>
      <c r="B4" s="496"/>
      <c r="C4" s="497" t="s">
        <v>707</v>
      </c>
      <c r="D4" s="497"/>
      <c r="E4" s="497"/>
      <c r="F4" s="497"/>
      <c r="G4" s="497"/>
      <c r="H4" s="497"/>
      <c r="I4" s="497"/>
      <c r="J4" s="497"/>
      <c r="K4" s="497"/>
      <c r="L4" s="497"/>
      <c r="M4" s="497"/>
    </row>
    <row r="5" spans="1:48" s="88" customFormat="1" ht="16.5" customHeight="1">
      <c r="A5" s="496" t="s">
        <v>1220</v>
      </c>
      <c r="B5" s="496"/>
      <c r="C5" s="493" t="s">
        <v>5700</v>
      </c>
      <c r="D5" s="493"/>
      <c r="E5" s="493"/>
      <c r="F5" s="493"/>
      <c r="G5" s="493"/>
      <c r="H5" s="493"/>
      <c r="I5" s="493"/>
      <c r="J5" s="493"/>
      <c r="K5" s="493"/>
      <c r="L5" s="493"/>
      <c r="M5" s="493"/>
    </row>
    <row r="6" spans="1:48" s="88" customFormat="1" ht="16.5" customHeight="1">
      <c r="A6" s="496" t="s">
        <v>5785</v>
      </c>
      <c r="B6" s="496"/>
      <c r="C6" s="493" t="s">
        <v>5701</v>
      </c>
      <c r="D6" s="493"/>
      <c r="E6" s="493"/>
      <c r="F6" s="493"/>
      <c r="G6" s="493"/>
      <c r="H6" s="493"/>
      <c r="I6" s="493"/>
      <c r="J6" s="493"/>
      <c r="K6" s="493"/>
      <c r="L6" s="493"/>
      <c r="M6" s="493"/>
    </row>
    <row r="7" spans="1:48" s="88" customFormat="1" ht="24.75" customHeight="1">
      <c r="A7" s="89" t="s">
        <v>1223</v>
      </c>
      <c r="B7" s="92" t="s">
        <v>5620</v>
      </c>
      <c r="C7" s="493" t="s">
        <v>5621</v>
      </c>
      <c r="D7" s="493"/>
      <c r="E7" s="493"/>
      <c r="F7" s="493"/>
      <c r="G7" s="493"/>
      <c r="H7" s="493"/>
      <c r="I7" s="493"/>
      <c r="J7" s="493"/>
      <c r="K7" s="493"/>
      <c r="L7" s="493"/>
      <c r="M7" s="493"/>
    </row>
    <row r="8" spans="1:48" s="88" customFormat="1" ht="24.75" customHeight="1">
      <c r="A8" s="89"/>
      <c r="B8" s="92" t="s">
        <v>5622</v>
      </c>
      <c r="C8" s="493" t="s">
        <v>5623</v>
      </c>
      <c r="D8" s="493"/>
      <c r="E8" s="493"/>
      <c r="F8" s="493"/>
      <c r="G8" s="493"/>
      <c r="H8" s="493"/>
      <c r="I8" s="493"/>
      <c r="J8" s="493"/>
      <c r="K8" s="493"/>
      <c r="L8" s="493"/>
      <c r="M8" s="493"/>
    </row>
    <row r="9" spans="1:48" s="88" customFormat="1" ht="16.5" customHeight="1">
      <c r="A9" s="89"/>
      <c r="B9" s="90" t="s">
        <v>5624</v>
      </c>
      <c r="C9" s="493" t="s">
        <v>5625</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5" t="s">
        <v>1246</v>
      </c>
      <c r="C17" s="96" t="s">
        <v>5692</v>
      </c>
      <c r="D17" s="97" t="s">
        <v>5646</v>
      </c>
      <c r="E17" s="94"/>
      <c r="G17" s="98" t="s">
        <v>1730</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t="s">
        <v>5648</v>
      </c>
      <c r="C18" s="100" t="s">
        <v>5693</v>
      </c>
      <c r="D18" s="101">
        <v>185</v>
      </c>
      <c r="G18" s="102" t="s">
        <v>5692</v>
      </c>
      <c r="H18" s="9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t="s">
        <v>1250</v>
      </c>
      <c r="C19" s="100" t="s">
        <v>3007</v>
      </c>
      <c r="D19" s="101">
        <v>170</v>
      </c>
      <c r="G19" s="103" t="s">
        <v>3007</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t="s">
        <v>1252</v>
      </c>
      <c r="C20" s="100" t="s">
        <v>3007</v>
      </c>
      <c r="D20" s="101">
        <v>190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t="s">
        <v>1253</v>
      </c>
      <c r="C21" s="100" t="s">
        <v>4346</v>
      </c>
      <c r="D21" s="101">
        <v>163</v>
      </c>
      <c r="G21" s="94" t="s">
        <v>1456</v>
      </c>
      <c r="H21" s="104" t="s">
        <v>1238</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05" t="s">
        <v>5651</v>
      </c>
      <c r="C22" s="106" t="s">
        <v>3007</v>
      </c>
      <c r="D22" s="107">
        <v>163</v>
      </c>
      <c r="G22" s="93">
        <f>DSTDEV(B17:D22,D17,G18:G19)</f>
        <v>14.0118997046558</v>
      </c>
      <c r="H22" s="108" t="s">
        <v>5702</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851</v>
      </c>
      <c r="B100" s="498"/>
      <c r="C100" s="499"/>
      <c r="D100" s="87"/>
      <c r="E100" s="500" t="str">
        <f>HYPERLINK("#目录!A511","跳转回到目录页")</f>
        <v>跳转回到目录页</v>
      </c>
      <c r="F100" s="501"/>
    </row>
    <row r="101" spans="1:13" s="88" customFormat="1" ht="26.25" customHeight="1">
      <c r="A101" s="502" t="s">
        <v>1216</v>
      </c>
      <c r="B101" s="502"/>
      <c r="C101" s="503" t="s">
        <v>708</v>
      </c>
      <c r="D101" s="503"/>
      <c r="E101" s="503"/>
      <c r="F101" s="503"/>
      <c r="G101" s="503"/>
      <c r="H101" s="503"/>
      <c r="I101" s="503"/>
      <c r="J101" s="503"/>
      <c r="K101" s="503"/>
      <c r="L101" s="503"/>
      <c r="M101" s="503"/>
    </row>
    <row r="102" spans="1:13" s="88" customFormat="1" ht="16.5" customHeight="1">
      <c r="A102" s="496" t="s">
        <v>1217</v>
      </c>
      <c r="B102" s="496"/>
      <c r="C102" s="493" t="s">
        <v>5703</v>
      </c>
      <c r="D102" s="493"/>
      <c r="E102" s="493"/>
      <c r="F102" s="493"/>
      <c r="G102" s="493"/>
      <c r="H102" s="493"/>
      <c r="I102" s="493"/>
      <c r="J102" s="493"/>
      <c r="K102" s="493"/>
      <c r="L102" s="493"/>
      <c r="M102" s="493"/>
    </row>
    <row r="103" spans="1:13" s="88" customFormat="1" ht="16.5" customHeight="1">
      <c r="A103" s="496" t="s">
        <v>5786</v>
      </c>
      <c r="B103" s="496"/>
      <c r="C103" s="497" t="s">
        <v>708</v>
      </c>
      <c r="D103" s="497"/>
      <c r="E103" s="497"/>
      <c r="F103" s="497"/>
      <c r="G103" s="497"/>
      <c r="H103" s="497"/>
      <c r="I103" s="497"/>
      <c r="J103" s="497"/>
      <c r="K103" s="497"/>
      <c r="L103" s="497"/>
      <c r="M103" s="497"/>
    </row>
    <row r="104" spans="1:13" s="88" customFormat="1" ht="16.5" customHeight="1">
      <c r="A104" s="496" t="s">
        <v>1220</v>
      </c>
      <c r="B104" s="496"/>
      <c r="C104" s="493" t="s">
        <v>5704</v>
      </c>
      <c r="D104" s="493"/>
      <c r="E104" s="493"/>
      <c r="F104" s="493"/>
      <c r="G104" s="493"/>
      <c r="H104" s="493"/>
      <c r="I104" s="493"/>
      <c r="J104" s="493"/>
      <c r="K104" s="493"/>
      <c r="L104" s="493"/>
      <c r="M104" s="493"/>
    </row>
    <row r="105" spans="1:13" s="88" customFormat="1" ht="16.5" customHeight="1">
      <c r="A105" s="496" t="s">
        <v>5785</v>
      </c>
      <c r="B105" s="496"/>
      <c r="C105" s="493" t="s">
        <v>5705</v>
      </c>
      <c r="D105" s="493"/>
      <c r="E105" s="493"/>
      <c r="F105" s="493"/>
      <c r="G105" s="493"/>
      <c r="H105" s="493"/>
      <c r="I105" s="493"/>
      <c r="J105" s="493"/>
      <c r="K105" s="493"/>
      <c r="L105" s="493"/>
      <c r="M105" s="493"/>
    </row>
    <row r="106" spans="1:13" s="88" customFormat="1" ht="24.75" customHeight="1">
      <c r="A106" s="89" t="s">
        <v>1223</v>
      </c>
      <c r="B106" s="92" t="s">
        <v>5620</v>
      </c>
      <c r="C106" s="493" t="s">
        <v>5621</v>
      </c>
      <c r="D106" s="493"/>
      <c r="E106" s="493"/>
      <c r="F106" s="493"/>
      <c r="G106" s="493"/>
      <c r="H106" s="493"/>
      <c r="I106" s="493"/>
      <c r="J106" s="493"/>
      <c r="K106" s="493"/>
      <c r="L106" s="493"/>
      <c r="M106" s="493"/>
    </row>
    <row r="107" spans="1:13" s="88" customFormat="1" ht="24.75" customHeight="1">
      <c r="A107" s="89"/>
      <c r="B107" s="92" t="s">
        <v>5622</v>
      </c>
      <c r="C107" s="493" t="s">
        <v>5623</v>
      </c>
      <c r="D107" s="493"/>
      <c r="E107" s="493"/>
      <c r="F107" s="493"/>
      <c r="G107" s="493"/>
      <c r="H107" s="493"/>
      <c r="I107" s="493"/>
      <c r="J107" s="493"/>
      <c r="K107" s="493"/>
      <c r="L107" s="493"/>
      <c r="M107" s="493"/>
    </row>
    <row r="108" spans="1:13" s="88" customFormat="1" ht="16.5" customHeight="1">
      <c r="A108" s="89"/>
      <c r="B108" s="90" t="s">
        <v>5624</v>
      </c>
      <c r="C108" s="493" t="s">
        <v>5625</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673"/>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s="93" customFormat="1" ht="16.5" customHeight="1">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pans="1:48" s="93" customFormat="1" ht="16.5" customHeight="1">
      <c r="B116" s="95" t="s">
        <v>1246</v>
      </c>
      <c r="C116" s="96" t="s">
        <v>5692</v>
      </c>
      <c r="D116" s="97" t="s">
        <v>5646</v>
      </c>
      <c r="E116" s="94"/>
      <c r="G116" s="98" t="s">
        <v>1730</v>
      </c>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spans="1:48" s="93" customFormat="1" ht="16.5" customHeight="1">
      <c r="B117" s="99" t="s">
        <v>5648</v>
      </c>
      <c r="C117" s="100" t="s">
        <v>5693</v>
      </c>
      <c r="D117" s="101">
        <v>185</v>
      </c>
      <c r="G117" s="102" t="s">
        <v>5692</v>
      </c>
      <c r="H117" s="9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row>
    <row r="118" spans="1:48" s="93" customFormat="1" ht="16.5" customHeight="1">
      <c r="B118" s="99" t="s">
        <v>1250</v>
      </c>
      <c r="C118" s="100" t="s">
        <v>3007</v>
      </c>
      <c r="D118" s="101">
        <v>170</v>
      </c>
      <c r="G118" s="103" t="s">
        <v>3007</v>
      </c>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pans="1:48" s="93" customFormat="1" ht="16.5" customHeight="1">
      <c r="B119" s="99" t="s">
        <v>1252</v>
      </c>
      <c r="C119" s="100" t="s">
        <v>3007</v>
      </c>
      <c r="D119" s="101">
        <v>190</v>
      </c>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spans="1:48" s="93" customFormat="1" ht="16.5" customHeight="1">
      <c r="B120" s="99" t="s">
        <v>1253</v>
      </c>
      <c r="C120" s="100" t="s">
        <v>4346</v>
      </c>
      <c r="D120" s="101">
        <v>163</v>
      </c>
      <c r="G120" s="94" t="s">
        <v>1456</v>
      </c>
      <c r="H120" s="104" t="s">
        <v>1238</v>
      </c>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1" spans="1:48" s="93" customFormat="1" ht="16.5" customHeight="1">
      <c r="B121" s="105" t="s">
        <v>5651</v>
      </c>
      <c r="C121" s="106" t="s">
        <v>3007</v>
      </c>
      <c r="D121" s="107">
        <v>163</v>
      </c>
      <c r="G121" s="93">
        <f>DSTDEVP(B116:D121,D116,G117:G118)</f>
        <v>11.440668201153676</v>
      </c>
      <c r="H121" s="108" t="s">
        <v>5706</v>
      </c>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row>
    <row r="122" spans="1:48" s="93" customFormat="1" ht="16.5" customHeight="1">
      <c r="A122" s="9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row>
    <row r="123" spans="1:48" s="93" customFormat="1" ht="16.5" customHeight="1">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row>
    <row r="124" spans="1:48" s="93" customFormat="1" ht="16.5" customHeight="1">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row>
    <row r="125" spans="1:48" s="93" customFormat="1" ht="16.5" customHeight="1">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row>
    <row r="126" spans="1:48" s="93" customFormat="1" ht="16.5" customHeight="1">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4"/>
  <dimension ref="A1:AV117"/>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870</v>
      </c>
      <c r="B1" s="498"/>
      <c r="C1" s="499"/>
      <c r="D1" s="87"/>
      <c r="E1" s="680" t="str">
        <f>HYPERLINK("#目录!A517","跳转回到目录页")</f>
        <v>跳转回到目录页</v>
      </c>
      <c r="F1" s="501"/>
    </row>
    <row r="2" spans="1:13" s="88" customFormat="1" ht="26.25" customHeight="1">
      <c r="A2" s="502" t="s">
        <v>1216</v>
      </c>
      <c r="B2" s="502"/>
      <c r="C2" s="503" t="s">
        <v>713</v>
      </c>
      <c r="D2" s="503"/>
      <c r="E2" s="503"/>
      <c r="F2" s="503"/>
      <c r="G2" s="503"/>
      <c r="H2" s="503"/>
      <c r="I2" s="503"/>
      <c r="J2" s="503"/>
      <c r="K2" s="503"/>
      <c r="L2" s="503"/>
      <c r="M2" s="503"/>
    </row>
    <row r="3" spans="1:13" s="88" customFormat="1" ht="36" customHeight="1">
      <c r="A3" s="496" t="s">
        <v>1217</v>
      </c>
      <c r="B3" s="496"/>
      <c r="C3" s="493" t="s">
        <v>5707</v>
      </c>
      <c r="D3" s="493"/>
      <c r="E3" s="493"/>
      <c r="F3" s="493"/>
      <c r="G3" s="493"/>
      <c r="H3" s="493"/>
      <c r="I3" s="493"/>
      <c r="J3" s="493"/>
      <c r="K3" s="493"/>
      <c r="L3" s="493"/>
      <c r="M3" s="493"/>
    </row>
    <row r="4" spans="1:13" s="88" customFormat="1" ht="16.5" customHeight="1">
      <c r="A4" s="496" t="s">
        <v>5786</v>
      </c>
      <c r="B4" s="496"/>
      <c r="C4" s="497" t="s">
        <v>713</v>
      </c>
      <c r="D4" s="497"/>
      <c r="E4" s="497"/>
      <c r="F4" s="497"/>
      <c r="G4" s="497"/>
      <c r="H4" s="497"/>
      <c r="I4" s="497"/>
      <c r="J4" s="497"/>
      <c r="K4" s="497"/>
      <c r="L4" s="497"/>
      <c r="M4" s="497"/>
    </row>
    <row r="5" spans="1:13" s="88" customFormat="1" ht="16.5" customHeight="1">
      <c r="A5" s="496" t="s">
        <v>1220</v>
      </c>
      <c r="B5" s="496"/>
      <c r="C5" s="493" t="s">
        <v>5708</v>
      </c>
      <c r="D5" s="493"/>
      <c r="E5" s="493"/>
      <c r="F5" s="493"/>
      <c r="G5" s="493"/>
      <c r="H5" s="493"/>
      <c r="I5" s="493"/>
      <c r="J5" s="493"/>
      <c r="K5" s="493"/>
      <c r="L5" s="493"/>
      <c r="M5" s="493"/>
    </row>
    <row r="6" spans="1:13" s="88" customFormat="1" ht="16.5" customHeight="1">
      <c r="A6" s="496" t="s">
        <v>5785</v>
      </c>
      <c r="B6" s="496"/>
      <c r="C6" s="493" t="s">
        <v>5709</v>
      </c>
      <c r="D6" s="493"/>
      <c r="E6" s="493"/>
      <c r="F6" s="493"/>
      <c r="G6" s="493"/>
      <c r="H6" s="493"/>
      <c r="I6" s="493"/>
      <c r="J6" s="493"/>
      <c r="K6" s="493"/>
      <c r="L6" s="493"/>
      <c r="M6" s="493"/>
    </row>
    <row r="7" spans="1:13" s="88" customFormat="1" ht="16.5" customHeight="1">
      <c r="A7" s="89" t="s">
        <v>1223</v>
      </c>
      <c r="B7" s="92" t="s">
        <v>2200</v>
      </c>
      <c r="C7" s="493" t="s">
        <v>5710</v>
      </c>
      <c r="D7" s="493"/>
      <c r="E7" s="493"/>
      <c r="F7" s="493"/>
      <c r="G7" s="493"/>
      <c r="H7" s="493"/>
      <c r="I7" s="493"/>
      <c r="J7" s="493"/>
      <c r="K7" s="493"/>
      <c r="L7" s="493"/>
      <c r="M7" s="493"/>
    </row>
    <row r="8" spans="1:13" s="88" customFormat="1" ht="16.5" customHeight="1">
      <c r="A8" s="89"/>
      <c r="B8" s="92" t="s">
        <v>5711</v>
      </c>
      <c r="C8" s="493" t="s">
        <v>5712</v>
      </c>
      <c r="D8" s="493"/>
      <c r="E8" s="493"/>
      <c r="F8" s="493"/>
      <c r="G8" s="493"/>
      <c r="H8" s="493"/>
      <c r="I8" s="493"/>
      <c r="J8" s="493"/>
      <c r="K8" s="493"/>
      <c r="L8" s="493"/>
      <c r="M8" s="493"/>
    </row>
    <row r="9" spans="1:13" s="88" customFormat="1" ht="16.5" customHeight="1">
      <c r="A9" s="89"/>
      <c r="B9" s="90" t="s">
        <v>5713</v>
      </c>
      <c r="C9" s="493" t="s">
        <v>5714</v>
      </c>
      <c r="D9" s="493"/>
      <c r="E9" s="493"/>
      <c r="F9" s="493"/>
      <c r="G9" s="493"/>
      <c r="H9" s="493"/>
      <c r="I9" s="493"/>
      <c r="J9" s="493"/>
      <c r="K9" s="493"/>
      <c r="L9" s="493"/>
      <c r="M9" s="493"/>
    </row>
    <row r="10" spans="1:13" s="88" customFormat="1" ht="24.75" customHeight="1">
      <c r="A10" s="89"/>
      <c r="B10" s="92" t="s">
        <v>5715</v>
      </c>
      <c r="C10" s="509" t="s">
        <v>5716</v>
      </c>
      <c r="D10" s="509"/>
      <c r="E10" s="509"/>
      <c r="F10" s="509"/>
      <c r="G10" s="509"/>
      <c r="H10" s="509"/>
      <c r="I10" s="509"/>
      <c r="J10" s="509"/>
      <c r="K10" s="509"/>
      <c r="L10" s="509"/>
      <c r="M10" s="509"/>
    </row>
    <row r="11" spans="1:13" s="88" customFormat="1" ht="38.25" customHeight="1">
      <c r="A11" s="89"/>
      <c r="B11" s="90" t="s">
        <v>5717</v>
      </c>
      <c r="C11" s="509" t="s">
        <v>5718</v>
      </c>
      <c r="D11" s="509"/>
      <c r="E11" s="509"/>
      <c r="F11" s="509"/>
      <c r="G11" s="509"/>
      <c r="H11" s="509"/>
      <c r="I11" s="509"/>
      <c r="J11" s="509"/>
      <c r="K11" s="509"/>
      <c r="L11" s="509"/>
      <c r="M11" s="509"/>
    </row>
    <row r="12" spans="1:13" s="88" customFormat="1" ht="16.5" customHeight="1">
      <c r="A12" s="89"/>
      <c r="B12" s="90"/>
      <c r="C12" s="509"/>
      <c r="D12" s="509"/>
      <c r="E12" s="509"/>
      <c r="F12" s="509"/>
      <c r="G12" s="509"/>
      <c r="H12" s="509"/>
      <c r="I12" s="509"/>
      <c r="J12" s="509"/>
      <c r="K12" s="509"/>
      <c r="L12" s="509"/>
      <c r="M12" s="509"/>
    </row>
    <row r="13" spans="1:13" s="88" customFormat="1" ht="16.5" customHeight="1">
      <c r="A13" s="89" t="s">
        <v>1228</v>
      </c>
      <c r="B13" s="493"/>
      <c r="C13" s="493"/>
      <c r="D13" s="493"/>
      <c r="E13" s="493"/>
      <c r="F13" s="493"/>
      <c r="G13" s="493"/>
      <c r="H13" s="493"/>
      <c r="I13" s="493"/>
      <c r="J13" s="493"/>
      <c r="K13" s="493"/>
      <c r="L13" s="493"/>
      <c r="M13" s="493"/>
    </row>
    <row r="14" spans="1:13" ht="73.5" customHeight="1">
      <c r="A14" s="89" t="s">
        <v>1229</v>
      </c>
      <c r="B14" s="673" t="s">
        <v>5719</v>
      </c>
      <c r="C14" s="673"/>
      <c r="D14" s="673"/>
      <c r="E14" s="673"/>
      <c r="F14" s="673"/>
      <c r="G14" s="673"/>
      <c r="H14" s="673"/>
      <c r="I14" s="673"/>
      <c r="J14" s="673"/>
      <c r="K14" s="673"/>
      <c r="L14" s="673"/>
      <c r="M14" s="673"/>
    </row>
    <row r="15" spans="1:13" ht="21" customHeight="1">
      <c r="B15" s="494" t="s">
        <v>2863</v>
      </c>
      <c r="C15" s="494"/>
      <c r="D15" s="494"/>
      <c r="E15" s="494"/>
      <c r="F15" s="494"/>
      <c r="G15" s="494"/>
      <c r="H15" s="494"/>
      <c r="I15" s="494"/>
      <c r="J15" s="494"/>
      <c r="K15" s="494"/>
      <c r="L15" s="495"/>
    </row>
    <row r="16" spans="1:13" s="93" customFormat="1" ht="16.5" customHeight="1"/>
    <row r="17" spans="1:48" s="93" customFormat="1" ht="16.5" customHeight="1">
      <c r="A17" s="94" t="s">
        <v>1232</v>
      </c>
      <c r="B17" s="93" t="s">
        <v>1773</v>
      </c>
    </row>
    <row r="18" spans="1:48" s="93" customFormat="1" ht="16.5" customHeight="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t="s">
        <v>5720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3" t="s">
        <v>5721</v>
      </c>
      <c r="C21" s="93" t="s">
        <v>5722</v>
      </c>
      <c r="D21" s="93" t="s">
        <v>5723</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t="s">
        <v>5724</v>
      </c>
      <c r="C22" s="93" t="s">
        <v>5725</v>
      </c>
      <c r="D22" s="93" t="s">
        <v>5726</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93" t="s">
        <v>5727</v>
      </c>
      <c r="C23" s="93" t="s">
        <v>5725</v>
      </c>
      <c r="D23" s="93" t="s">
        <v>5728</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3" t="s">
        <v>5729</v>
      </c>
      <c r="C24" s="93" t="s">
        <v>5730</v>
      </c>
      <c r="D24" s="93" t="s">
        <v>5731</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3" t="s">
        <v>5732</v>
      </c>
      <c r="C25" s="93" t="s">
        <v>5733</v>
      </c>
      <c r="D25" s="93" t="s">
        <v>5734</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A26" s="94"/>
      <c r="B26" s="93" t="s">
        <v>5735</v>
      </c>
      <c r="C26" s="93" t="s">
        <v>5725</v>
      </c>
      <c r="D26" s="93" t="s">
        <v>5736</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3" t="s">
        <v>5737</v>
      </c>
      <c r="C27" s="93" t="s">
        <v>5738</v>
      </c>
      <c r="D27" s="93" t="s">
        <v>5739</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3" t="s">
        <v>5740</v>
      </c>
      <c r="C28" s="93" t="s">
        <v>5741</v>
      </c>
      <c r="D28" s="93" t="s">
        <v>5742</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93" t="s">
        <v>5743</v>
      </c>
      <c r="C29" s="93" t="s">
        <v>5744</v>
      </c>
      <c r="D29" s="93" t="s">
        <v>5745</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93" t="s">
        <v>5746</v>
      </c>
      <c r="C30" s="93" t="s">
        <v>5747</v>
      </c>
      <c r="D30" s="93" t="s">
        <v>5748</v>
      </c>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93" t="s">
        <v>5749</v>
      </c>
      <c r="C31" s="93" t="s">
        <v>5750</v>
      </c>
      <c r="D31" s="93" t="s">
        <v>5751</v>
      </c>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93" t="s">
        <v>5752</v>
      </c>
      <c r="C32" s="93" t="s">
        <v>5753</v>
      </c>
      <c r="D32" s="93" t="s">
        <v>5754</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B33" s="93" t="s">
        <v>5755</v>
      </c>
      <c r="C33" s="93" t="s">
        <v>5756</v>
      </c>
      <c r="D33" s="93" t="s">
        <v>5757</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93" t="s">
        <v>5758</v>
      </c>
      <c r="C34" s="93" t="s">
        <v>5759</v>
      </c>
      <c r="D34" s="93" t="s">
        <v>5760</v>
      </c>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A36" s="94"/>
      <c r="B36" s="93" t="s">
        <v>5723</v>
      </c>
      <c r="C36" s="93" t="s">
        <v>5761</v>
      </c>
      <c r="D36" s="93" t="s">
        <v>5762</v>
      </c>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B37" s="93" t="s">
        <v>5726</v>
      </c>
      <c r="C37" s="93">
        <v>0</v>
      </c>
      <c r="D37" s="93">
        <v>0</v>
      </c>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B38" s="93" t="s">
        <v>5728</v>
      </c>
      <c r="C38" s="93">
        <v>0</v>
      </c>
      <c r="D38" s="93">
        <v>0</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B39" s="93" t="s">
        <v>5731</v>
      </c>
      <c r="C39" s="93">
        <v>2</v>
      </c>
      <c r="D39" s="93">
        <v>2</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93" t="s">
        <v>5734</v>
      </c>
      <c r="C40" s="93">
        <v>0</v>
      </c>
      <c r="D40" s="93">
        <v>0</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93" t="s">
        <v>5736</v>
      </c>
      <c r="C41" s="93">
        <v>2</v>
      </c>
      <c r="D41" s="93">
        <v>2</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93" t="s">
        <v>5739</v>
      </c>
      <c r="C42" s="93">
        <v>2</v>
      </c>
      <c r="D42" s="93">
        <v>2</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93" t="s">
        <v>5742</v>
      </c>
      <c r="C43" s="93">
        <v>0</v>
      </c>
      <c r="D43" s="93">
        <v>0</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93" t="s">
        <v>5745</v>
      </c>
      <c r="C44" s="93">
        <v>2</v>
      </c>
      <c r="D44" s="93">
        <v>2</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93" t="s">
        <v>5748</v>
      </c>
      <c r="C45" s="93">
        <v>2</v>
      </c>
      <c r="D45" s="93">
        <v>2</v>
      </c>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93" t="s">
        <v>5751</v>
      </c>
      <c r="C46" s="93">
        <v>0</v>
      </c>
      <c r="D46" s="93">
        <v>2</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93" t="s">
        <v>5754</v>
      </c>
      <c r="C47" s="93">
        <v>2</v>
      </c>
      <c r="D47" s="93">
        <v>2</v>
      </c>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B48" s="93" t="s">
        <v>5757</v>
      </c>
      <c r="C48" s="93">
        <v>0</v>
      </c>
      <c r="D48" s="93">
        <v>2</v>
      </c>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B49" s="93" t="s">
        <v>5760</v>
      </c>
      <c r="C49" s="93">
        <v>2</v>
      </c>
      <c r="D49" s="93">
        <v>2</v>
      </c>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s="93" customFormat="1" ht="16.5" customHeight="1">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48">
      <c r="A51" s="93"/>
      <c r="B51" s="93"/>
      <c r="C51" s="93"/>
      <c r="D51" s="93"/>
      <c r="E51" s="93"/>
      <c r="F51" s="93"/>
      <c r="G51" s="93"/>
      <c r="H51" s="93"/>
      <c r="I51" s="93"/>
      <c r="J51" s="93"/>
      <c r="K51" s="93"/>
      <c r="L51" s="93"/>
      <c r="M51" s="93"/>
    </row>
    <row r="52" spans="1:48">
      <c r="B52" s="93" t="s">
        <v>1698</v>
      </c>
      <c r="G52" s="93"/>
      <c r="H52" s="93"/>
      <c r="I52" s="93"/>
      <c r="J52" s="93"/>
      <c r="K52" s="93"/>
      <c r="L52" s="93"/>
      <c r="M52" s="93"/>
    </row>
    <row r="53" spans="1:48">
      <c r="B53" s="93"/>
      <c r="G53" s="93"/>
      <c r="H53" s="93"/>
      <c r="I53" s="93"/>
      <c r="J53" s="93"/>
      <c r="K53" s="93"/>
      <c r="L53" s="93"/>
      <c r="M53" s="93"/>
    </row>
    <row r="54" spans="1:48">
      <c r="B54" s="93" t="s">
        <v>5763</v>
      </c>
      <c r="G54" s="93"/>
      <c r="H54" s="93"/>
      <c r="I54" s="93"/>
      <c r="J54" s="93"/>
      <c r="K54" s="93"/>
      <c r="L54" s="93"/>
      <c r="M54" s="93"/>
    </row>
    <row r="55" spans="1:48">
      <c r="B55" s="93"/>
      <c r="G55" s="93"/>
      <c r="H55" s="93"/>
      <c r="I55" s="93"/>
      <c r="J55" s="93"/>
      <c r="K55" s="93"/>
      <c r="L55" s="93"/>
      <c r="M55" s="93"/>
    </row>
    <row r="56" spans="1:48">
      <c r="B56" s="93" t="s">
        <v>5764</v>
      </c>
      <c r="G56" s="93"/>
      <c r="H56" s="93"/>
      <c r="I56" s="93"/>
      <c r="J56" s="93"/>
      <c r="K56" s="93"/>
      <c r="L56" s="93"/>
      <c r="M56" s="93"/>
    </row>
    <row r="57" spans="1:48">
      <c r="B57" s="93"/>
      <c r="G57" s="93"/>
      <c r="H57" s="93"/>
      <c r="I57" s="93"/>
      <c r="J57" s="93"/>
      <c r="K57" s="93"/>
      <c r="L57" s="93"/>
      <c r="M57" s="93"/>
    </row>
    <row r="58" spans="1:48">
      <c r="B58" s="93" t="s">
        <v>5765</v>
      </c>
      <c r="G58" s="93"/>
      <c r="H58" s="93"/>
      <c r="I58" s="93"/>
      <c r="J58" s="93"/>
      <c r="K58" s="93"/>
      <c r="L58" s="93"/>
      <c r="M58" s="93"/>
    </row>
    <row r="59" spans="1:48">
      <c r="B59" s="93"/>
      <c r="G59" s="93"/>
      <c r="H59" s="93"/>
      <c r="I59" s="93"/>
      <c r="J59" s="93"/>
      <c r="K59" s="93"/>
      <c r="L59" s="93"/>
      <c r="M59" s="93"/>
    </row>
    <row r="60" spans="1:48">
      <c r="B60" s="93" t="s">
        <v>5766</v>
      </c>
      <c r="G60" s="93"/>
      <c r="H60" s="93"/>
      <c r="I60" s="93"/>
      <c r="J60" s="93"/>
      <c r="K60" s="93"/>
      <c r="L60" s="93"/>
      <c r="M60" s="93"/>
    </row>
    <row r="61" spans="1:48">
      <c r="B61" s="93"/>
      <c r="G61" s="93"/>
      <c r="H61" s="93"/>
      <c r="I61" s="93"/>
      <c r="J61" s="93"/>
      <c r="K61" s="93"/>
      <c r="L61" s="93"/>
      <c r="M61" s="93"/>
    </row>
    <row r="62" spans="1:48">
      <c r="B62" s="93" t="s">
        <v>5767</v>
      </c>
      <c r="G62" s="93"/>
      <c r="H62" s="93"/>
      <c r="I62" s="93"/>
      <c r="J62" s="93"/>
      <c r="K62" s="93"/>
      <c r="L62" s="93"/>
      <c r="M62" s="93"/>
    </row>
    <row r="63" spans="1:48">
      <c r="B63" s="93"/>
      <c r="G63" s="93"/>
      <c r="H63" s="93"/>
      <c r="I63" s="93"/>
      <c r="J63" s="93"/>
      <c r="K63" s="93"/>
      <c r="L63" s="93"/>
      <c r="M63" s="93"/>
    </row>
    <row r="64" spans="1:48">
      <c r="B64" s="93" t="s">
        <v>5768</v>
      </c>
      <c r="G64" s="93"/>
      <c r="H64" s="93"/>
      <c r="I64" s="93"/>
      <c r="J64" s="93"/>
      <c r="K64" s="93"/>
      <c r="L64" s="93"/>
      <c r="M64" s="93"/>
    </row>
    <row r="65" spans="2:13">
      <c r="B65" s="93"/>
      <c r="G65" s="93"/>
      <c r="H65" s="93"/>
      <c r="I65" s="93"/>
      <c r="J65" s="93"/>
      <c r="K65" s="93"/>
      <c r="L65" s="93"/>
      <c r="M65" s="93"/>
    </row>
    <row r="66" spans="2:13">
      <c r="B66" s="93" t="s">
        <v>5769</v>
      </c>
      <c r="G66" s="93"/>
      <c r="H66" s="93"/>
      <c r="I66" s="93"/>
      <c r="J66" s="93"/>
      <c r="K66" s="93"/>
      <c r="L66" s="93"/>
      <c r="M66" s="93"/>
    </row>
    <row r="67" spans="2:13">
      <c r="F67" s="93"/>
      <c r="G67" s="93"/>
      <c r="H67" s="93"/>
      <c r="I67" s="93"/>
      <c r="J67" s="93"/>
      <c r="K67" s="93"/>
      <c r="L67" s="93"/>
      <c r="M67" s="93"/>
    </row>
    <row r="68" spans="2:13">
      <c r="F68" s="93"/>
      <c r="G68" s="93"/>
      <c r="H68" s="93"/>
      <c r="I68" s="93"/>
      <c r="J68" s="93"/>
      <c r="K68" s="93"/>
      <c r="L68" s="93"/>
      <c r="M68" s="93"/>
    </row>
    <row r="69" spans="2:13">
      <c r="F69" s="93"/>
      <c r="G69" s="93"/>
      <c r="H69" s="93"/>
      <c r="I69" s="93"/>
      <c r="J69" s="93"/>
      <c r="K69" s="93"/>
      <c r="L69" s="93"/>
      <c r="M69" s="93"/>
    </row>
    <row r="70" spans="2:13">
      <c r="F70" s="93"/>
      <c r="G70" s="93"/>
      <c r="H70" s="93"/>
      <c r="I70" s="93"/>
      <c r="J70" s="93"/>
      <c r="K70" s="93"/>
      <c r="L70" s="93"/>
      <c r="M70" s="93"/>
    </row>
    <row r="71" spans="2:13">
      <c r="F71" s="93"/>
      <c r="G71" s="93"/>
      <c r="H71" s="93"/>
      <c r="I71" s="93"/>
      <c r="J71" s="93"/>
      <c r="K71" s="93"/>
      <c r="L71" s="93"/>
      <c r="M71" s="93"/>
    </row>
    <row r="72" spans="2:13">
      <c r="F72" s="93"/>
      <c r="G72" s="93"/>
      <c r="H72" s="93"/>
      <c r="I72" s="93"/>
      <c r="J72" s="93"/>
      <c r="K72" s="93"/>
      <c r="L72" s="93"/>
      <c r="M72" s="93"/>
    </row>
    <row r="100" spans="1:13" s="88" customFormat="1" ht="26.25" customHeight="1">
      <c r="A100" s="498" t="s">
        <v>714</v>
      </c>
      <c r="B100" s="498"/>
      <c r="C100" s="499"/>
      <c r="D100" s="87"/>
      <c r="E100" s="500" t="str">
        <f>HYPERLINK("#目录!A518","跳转回到目录页")</f>
        <v>跳转回到目录页</v>
      </c>
      <c r="F100" s="501"/>
    </row>
    <row r="101" spans="1:13" s="88" customFormat="1" ht="26.25" customHeight="1">
      <c r="A101" s="502" t="s">
        <v>1216</v>
      </c>
      <c r="B101" s="502"/>
      <c r="C101" s="503" t="s">
        <v>715</v>
      </c>
      <c r="D101" s="503"/>
      <c r="E101" s="503"/>
      <c r="F101" s="503"/>
      <c r="G101" s="503"/>
      <c r="H101" s="503"/>
      <c r="I101" s="503"/>
      <c r="J101" s="503"/>
      <c r="K101" s="503"/>
      <c r="L101" s="503"/>
      <c r="M101" s="503"/>
    </row>
    <row r="102" spans="1:13" s="88" customFormat="1" ht="16.5" customHeight="1">
      <c r="A102" s="496" t="s">
        <v>1217</v>
      </c>
      <c r="B102" s="496"/>
      <c r="C102" s="493" t="s">
        <v>5770</v>
      </c>
      <c r="D102" s="493"/>
      <c r="E102" s="493"/>
      <c r="F102" s="493"/>
      <c r="G102" s="493"/>
      <c r="H102" s="493"/>
      <c r="I102" s="493"/>
      <c r="J102" s="493"/>
      <c r="K102" s="493"/>
      <c r="L102" s="493"/>
      <c r="M102" s="493"/>
    </row>
    <row r="103" spans="1:13" s="88" customFormat="1" ht="16.5" customHeight="1">
      <c r="A103" s="496" t="s">
        <v>5786</v>
      </c>
      <c r="B103" s="496"/>
      <c r="C103" s="497" t="s">
        <v>715</v>
      </c>
      <c r="D103" s="497"/>
      <c r="E103" s="497"/>
      <c r="F103" s="497"/>
      <c r="G103" s="497"/>
      <c r="H103" s="497"/>
      <c r="I103" s="497"/>
      <c r="J103" s="497"/>
      <c r="K103" s="497"/>
      <c r="L103" s="497"/>
      <c r="M103" s="497"/>
    </row>
    <row r="104" spans="1:13" s="88" customFormat="1" ht="16.5" customHeight="1">
      <c r="A104" s="496" t="s">
        <v>1220</v>
      </c>
      <c r="B104" s="496"/>
      <c r="C104" s="493" t="s">
        <v>5771</v>
      </c>
      <c r="D104" s="493"/>
      <c r="E104" s="493"/>
      <c r="F104" s="493"/>
      <c r="G104" s="493"/>
      <c r="H104" s="493"/>
      <c r="I104" s="493"/>
      <c r="J104" s="493"/>
      <c r="K104" s="493"/>
      <c r="L104" s="493"/>
      <c r="M104" s="493"/>
    </row>
    <row r="105" spans="1:13" s="88" customFormat="1" ht="16.5" customHeight="1">
      <c r="A105" s="496" t="s">
        <v>5785</v>
      </c>
      <c r="B105" s="496"/>
      <c r="C105" s="493" t="s">
        <v>5772</v>
      </c>
      <c r="D105" s="493"/>
      <c r="E105" s="493"/>
      <c r="F105" s="493"/>
      <c r="G105" s="493"/>
      <c r="H105" s="493"/>
      <c r="I105" s="493"/>
      <c r="J105" s="493"/>
      <c r="K105" s="493"/>
      <c r="L105" s="493"/>
      <c r="M105" s="493"/>
    </row>
    <row r="106" spans="1:13" s="88" customFormat="1" ht="24.75" customHeight="1">
      <c r="A106" s="89" t="s">
        <v>1223</v>
      </c>
      <c r="B106" s="92" t="s">
        <v>5773</v>
      </c>
      <c r="C106" s="493" t="s">
        <v>5774</v>
      </c>
      <c r="D106" s="493"/>
      <c r="E106" s="493"/>
      <c r="F106" s="493"/>
      <c r="G106" s="493"/>
      <c r="H106" s="493"/>
      <c r="I106" s="493"/>
      <c r="J106" s="493"/>
      <c r="K106" s="493"/>
      <c r="L106" s="493"/>
      <c r="M106" s="493"/>
    </row>
    <row r="107" spans="1:13" s="88" customFormat="1" ht="16.5" customHeight="1">
      <c r="A107" s="89"/>
      <c r="B107" s="90" t="s">
        <v>5775</v>
      </c>
      <c r="C107" s="493" t="s">
        <v>5776</v>
      </c>
      <c r="D107" s="493"/>
      <c r="E107" s="493"/>
      <c r="F107" s="493"/>
      <c r="G107" s="493"/>
      <c r="H107" s="493"/>
      <c r="I107" s="493"/>
      <c r="J107" s="493"/>
      <c r="K107" s="493"/>
      <c r="L107" s="493"/>
      <c r="M107" s="493"/>
    </row>
    <row r="108" spans="1:13" s="88" customFormat="1" ht="24.75" customHeight="1">
      <c r="A108" s="89"/>
      <c r="B108" s="92" t="s">
        <v>5777</v>
      </c>
      <c r="C108" s="493" t="s">
        <v>5778</v>
      </c>
      <c r="D108" s="493"/>
      <c r="E108" s="493"/>
      <c r="F108" s="493"/>
      <c r="G108" s="493"/>
      <c r="H108" s="493"/>
      <c r="I108" s="493"/>
      <c r="J108" s="493"/>
      <c r="K108" s="493"/>
      <c r="L108" s="493"/>
      <c r="M108" s="493"/>
    </row>
    <row r="109" spans="1:13" s="88" customFormat="1" ht="24.75" customHeight="1">
      <c r="A109" s="89"/>
      <c r="B109" s="88" t="s">
        <v>5779</v>
      </c>
      <c r="C109" s="679" t="s">
        <v>5804</v>
      </c>
      <c r="D109" s="679"/>
      <c r="E109" s="679"/>
      <c r="F109" s="679"/>
      <c r="G109" s="679"/>
      <c r="H109" s="679"/>
      <c r="I109" s="679"/>
      <c r="J109" s="679"/>
      <c r="K109" s="679"/>
      <c r="L109" s="679"/>
      <c r="M109" s="679"/>
    </row>
    <row r="110" spans="1:13" s="88" customFormat="1" ht="24.75" customHeight="1">
      <c r="A110" s="89"/>
      <c r="B110" s="90" t="s">
        <v>5780</v>
      </c>
      <c r="C110" s="493" t="s">
        <v>5781</v>
      </c>
      <c r="D110" s="493"/>
      <c r="E110" s="493"/>
      <c r="F110" s="493"/>
      <c r="G110" s="493"/>
      <c r="H110" s="493"/>
      <c r="I110" s="493"/>
      <c r="J110" s="493"/>
      <c r="K110" s="493"/>
      <c r="L110" s="493"/>
      <c r="M110" s="493"/>
    </row>
    <row r="111" spans="1:13" s="88" customFormat="1" ht="16.5" customHeight="1">
      <c r="A111" s="89" t="s">
        <v>1228</v>
      </c>
      <c r="B111" s="493"/>
      <c r="C111" s="493"/>
      <c r="D111" s="493"/>
      <c r="E111" s="493"/>
      <c r="F111" s="493"/>
      <c r="G111" s="493"/>
      <c r="H111" s="493"/>
      <c r="I111" s="493"/>
      <c r="J111" s="493"/>
      <c r="K111" s="493"/>
      <c r="L111" s="493"/>
      <c r="M111" s="493"/>
    </row>
    <row r="112" spans="1:13" ht="16.5" customHeight="1">
      <c r="A112" s="89" t="s">
        <v>1229</v>
      </c>
      <c r="B112" s="673" t="s">
        <v>5782</v>
      </c>
      <c r="C112" s="673"/>
      <c r="D112" s="673"/>
      <c r="E112" s="673"/>
      <c r="F112" s="673"/>
      <c r="G112" s="673"/>
      <c r="H112" s="673"/>
      <c r="I112" s="673"/>
      <c r="J112" s="673"/>
      <c r="K112" s="673"/>
      <c r="L112" s="673"/>
      <c r="M112" s="673"/>
    </row>
    <row r="113" spans="1:12" ht="21" customHeight="1">
      <c r="B113" s="494" t="s">
        <v>2863</v>
      </c>
      <c r="C113" s="494"/>
      <c r="D113" s="494"/>
      <c r="E113" s="494"/>
      <c r="F113" s="494"/>
      <c r="G113" s="494"/>
      <c r="H113" s="494"/>
      <c r="I113" s="494"/>
      <c r="J113" s="494"/>
      <c r="K113" s="494"/>
      <c r="L113" s="495"/>
    </row>
    <row r="114" spans="1:12" s="93" customFormat="1" ht="16.5" customHeight="1"/>
    <row r="115" spans="1:12" s="93" customFormat="1" ht="16.5" customHeight="1">
      <c r="A115" s="94" t="s">
        <v>1232</v>
      </c>
      <c r="B115" s="93" t="s">
        <v>1773</v>
      </c>
    </row>
    <row r="117" spans="1:12">
      <c r="B117" s="93" t="s">
        <v>5783</v>
      </c>
    </row>
  </sheetData>
  <mergeCells count="41">
    <mergeCell ref="A1:C1"/>
    <mergeCell ref="E1:F1"/>
    <mergeCell ref="A2:B2"/>
    <mergeCell ref="C2:M2"/>
    <mergeCell ref="A3:B3"/>
    <mergeCell ref="C3:M3"/>
    <mergeCell ref="A4:B4"/>
    <mergeCell ref="C4:M4"/>
    <mergeCell ref="A5:B5"/>
    <mergeCell ref="C5:M5"/>
    <mergeCell ref="A6:B6"/>
    <mergeCell ref="C6:M6"/>
    <mergeCell ref="A101:B101"/>
    <mergeCell ref="C101:M101"/>
    <mergeCell ref="C7:M7"/>
    <mergeCell ref="C8:M8"/>
    <mergeCell ref="C9:M9"/>
    <mergeCell ref="C10:M10"/>
    <mergeCell ref="C11:M11"/>
    <mergeCell ref="C12:M12"/>
    <mergeCell ref="B13:M13"/>
    <mergeCell ref="B14:M14"/>
    <mergeCell ref="B15:L15"/>
    <mergeCell ref="A100:C100"/>
    <mergeCell ref="E100:F100"/>
    <mergeCell ref="A102:B102"/>
    <mergeCell ref="C102:M102"/>
    <mergeCell ref="A103:B103"/>
    <mergeCell ref="C103:M103"/>
    <mergeCell ref="A104:B104"/>
    <mergeCell ref="C104:M104"/>
    <mergeCell ref="C110:M110"/>
    <mergeCell ref="B111:M111"/>
    <mergeCell ref="B112:M112"/>
    <mergeCell ref="B113:L113"/>
    <mergeCell ref="A105:B105"/>
    <mergeCell ref="C105:M105"/>
    <mergeCell ref="C106:M106"/>
    <mergeCell ref="C107:M107"/>
    <mergeCell ref="C108:M108"/>
    <mergeCell ref="C109:M109"/>
  </mergeCells>
  <phoneticPr fontId="2" type="noConversion"/>
  <pageMargins left="0.75" right="0.75" top="1" bottom="1" header="0.5" footer="0.5"/>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M45"/>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99</v>
      </c>
      <c r="B1" s="498"/>
      <c r="C1" s="499"/>
      <c r="D1" s="87"/>
      <c r="E1" s="500" t="str">
        <f>HYPERLINK("#目录!A59","跳转回到目录页")</f>
        <v>跳转回到目录页</v>
      </c>
      <c r="F1" s="501"/>
    </row>
    <row r="2" spans="1:13" s="88" customFormat="1" ht="26.25" customHeight="1">
      <c r="A2" s="502" t="s">
        <v>1216</v>
      </c>
      <c r="B2" s="502"/>
      <c r="C2" s="503" t="s">
        <v>1088</v>
      </c>
      <c r="D2" s="503"/>
      <c r="E2" s="503"/>
      <c r="F2" s="503"/>
      <c r="G2" s="503"/>
      <c r="H2" s="503"/>
      <c r="I2" s="503"/>
      <c r="J2" s="503"/>
      <c r="K2" s="503"/>
      <c r="L2" s="503"/>
      <c r="M2" s="503"/>
    </row>
    <row r="3" spans="1:13" s="88" customFormat="1" ht="16.5" customHeight="1">
      <c r="A3" s="496" t="s">
        <v>1217</v>
      </c>
      <c r="B3" s="496"/>
      <c r="C3" s="493" t="s">
        <v>1868</v>
      </c>
      <c r="D3" s="493"/>
      <c r="E3" s="493"/>
      <c r="F3" s="493"/>
      <c r="G3" s="493"/>
      <c r="H3" s="493"/>
      <c r="I3" s="493"/>
      <c r="J3" s="493"/>
      <c r="K3" s="493"/>
      <c r="L3" s="493"/>
      <c r="M3" s="493"/>
    </row>
    <row r="4" spans="1:13" s="88" customFormat="1" ht="16.5" customHeight="1">
      <c r="A4" s="496" t="s">
        <v>5786</v>
      </c>
      <c r="B4" s="496"/>
      <c r="C4" s="497" t="s">
        <v>1869</v>
      </c>
      <c r="D4" s="497"/>
      <c r="E4" s="497"/>
      <c r="F4" s="497"/>
      <c r="G4" s="497"/>
      <c r="H4" s="497"/>
      <c r="I4" s="497"/>
      <c r="J4" s="497"/>
      <c r="K4" s="497"/>
      <c r="L4" s="497"/>
      <c r="M4" s="497"/>
    </row>
    <row r="5" spans="1:13" s="88" customFormat="1" ht="16.5" customHeight="1">
      <c r="A5" s="496" t="s">
        <v>1220</v>
      </c>
      <c r="B5" s="496"/>
      <c r="C5" s="493" t="s">
        <v>1870</v>
      </c>
      <c r="D5" s="493"/>
      <c r="E5" s="493"/>
      <c r="F5" s="493"/>
      <c r="G5" s="493"/>
      <c r="H5" s="493"/>
      <c r="I5" s="493"/>
      <c r="J5" s="493"/>
      <c r="K5" s="493"/>
      <c r="L5" s="493"/>
      <c r="M5" s="493"/>
    </row>
    <row r="6" spans="1:13" s="88" customFormat="1" ht="16.5" customHeight="1">
      <c r="A6" s="496" t="s">
        <v>5785</v>
      </c>
      <c r="B6" s="496"/>
      <c r="C6" s="493" t="s">
        <v>1871</v>
      </c>
      <c r="D6" s="493"/>
      <c r="E6" s="493"/>
      <c r="F6" s="493"/>
      <c r="G6" s="493"/>
      <c r="H6" s="493"/>
      <c r="I6" s="493"/>
      <c r="J6" s="493"/>
      <c r="K6" s="493"/>
      <c r="L6" s="493"/>
      <c r="M6" s="493"/>
    </row>
    <row r="7" spans="1:13" s="88" customFormat="1" ht="16.5" customHeight="1">
      <c r="A7" s="89" t="s">
        <v>1223</v>
      </c>
      <c r="B7" s="92" t="s">
        <v>1576</v>
      </c>
      <c r="C7" s="493" t="s">
        <v>1872</v>
      </c>
      <c r="D7" s="493"/>
      <c r="E7" s="493"/>
      <c r="F7" s="493"/>
      <c r="G7" s="493"/>
      <c r="H7" s="493"/>
      <c r="I7" s="493"/>
      <c r="J7" s="493"/>
      <c r="K7" s="493"/>
      <c r="L7" s="493"/>
      <c r="M7" s="493"/>
    </row>
    <row r="8" spans="1:13" s="88" customFormat="1" ht="16.5" customHeight="1">
      <c r="A8" s="89" t="s">
        <v>1228</v>
      </c>
      <c r="B8" s="493" t="s">
        <v>1873</v>
      </c>
      <c r="C8" s="493"/>
      <c r="D8" s="493"/>
      <c r="E8" s="493"/>
      <c r="F8" s="493"/>
      <c r="G8" s="493"/>
      <c r="H8" s="493"/>
      <c r="I8" s="493"/>
      <c r="J8" s="493"/>
      <c r="K8" s="493"/>
      <c r="L8" s="493"/>
      <c r="M8" s="493"/>
    </row>
    <row r="9" spans="1:13" ht="24.75" customHeight="1">
      <c r="A9" s="89" t="s">
        <v>1229</v>
      </c>
      <c r="B9" s="493" t="s">
        <v>1874</v>
      </c>
      <c r="C9" s="493"/>
      <c r="D9" s="493"/>
      <c r="E9" s="493"/>
      <c r="F9" s="493"/>
      <c r="G9" s="493"/>
      <c r="H9" s="493"/>
      <c r="I9" s="493"/>
      <c r="J9" s="493"/>
      <c r="K9" s="493"/>
      <c r="L9" s="493"/>
      <c r="M9" s="493"/>
    </row>
    <row r="10" spans="1:13" ht="21" customHeight="1">
      <c r="B10" s="494" t="s">
        <v>1231</v>
      </c>
      <c r="C10" s="494"/>
      <c r="D10" s="494"/>
      <c r="E10" s="494"/>
      <c r="F10" s="494"/>
      <c r="G10" s="494"/>
      <c r="H10" s="494"/>
      <c r="I10" s="494"/>
      <c r="J10" s="494"/>
      <c r="K10" s="494"/>
      <c r="L10" s="495"/>
    </row>
    <row r="11" spans="1:13" s="93" customFormat="1" ht="16.5" customHeight="1"/>
    <row r="12" spans="1:13" s="93" customFormat="1" ht="16.5" customHeight="1">
      <c r="A12" s="94" t="s">
        <v>1232</v>
      </c>
      <c r="B12" s="93" t="s">
        <v>1773</v>
      </c>
    </row>
    <row r="13" spans="1:13" s="93" customFormat="1" ht="16.5" customHeight="1"/>
    <row r="14" spans="1:13" s="93" customFormat="1" ht="16.5" customHeight="1">
      <c r="B14" s="94" t="s">
        <v>1875</v>
      </c>
      <c r="C14" s="94" t="s">
        <v>1876</v>
      </c>
      <c r="E14" s="104" t="s">
        <v>1238</v>
      </c>
      <c r="F14" s="94"/>
    </row>
    <row r="15" spans="1:13" s="93" customFormat="1" ht="16.5" customHeight="1">
      <c r="B15" s="93">
        <v>5</v>
      </c>
      <c r="C15" s="93">
        <f>PRODUCT(B15:B18)</f>
        <v>2250</v>
      </c>
      <c r="E15" s="108" t="s">
        <v>1877</v>
      </c>
      <c r="G15" s="93" t="s">
        <v>1878</v>
      </c>
    </row>
    <row r="16" spans="1:13" s="93" customFormat="1" ht="16.5" customHeight="1">
      <c r="B16" s="93">
        <v>15</v>
      </c>
      <c r="C16" s="93" t="s">
        <v>1879</v>
      </c>
      <c r="E16" s="158"/>
      <c r="F16" s="288"/>
    </row>
    <row r="17" spans="1:6" s="93" customFormat="1" ht="16.5" customHeight="1">
      <c r="B17" s="93">
        <v>30</v>
      </c>
      <c r="C17" s="93">
        <f>B15*B16*B17</f>
        <v>2250</v>
      </c>
      <c r="E17" s="108" t="s">
        <v>1880</v>
      </c>
    </row>
    <row r="18" spans="1:6" s="93" customFormat="1" ht="16.5" customHeight="1">
      <c r="B18" s="116" t="s">
        <v>1881</v>
      </c>
      <c r="C18" s="93" t="s">
        <v>1882</v>
      </c>
    </row>
    <row r="19" spans="1:6" s="93" customFormat="1" ht="16.5" customHeight="1">
      <c r="C19" s="93" t="e">
        <f>B15*B16*B17*B18</f>
        <v>#VALUE!</v>
      </c>
      <c r="E19" s="240" t="s">
        <v>1883</v>
      </c>
    </row>
    <row r="20" spans="1:6" s="93" customFormat="1" ht="16.5" customHeight="1"/>
    <row r="21" spans="1:6" s="93" customFormat="1" ht="16.5" customHeight="1">
      <c r="A21" s="94"/>
    </row>
    <row r="22" spans="1:6" s="93" customFormat="1" ht="16.5" customHeight="1"/>
    <row r="23" spans="1:6" s="93" customFormat="1" ht="16.5" customHeight="1">
      <c r="A23" s="94" t="s">
        <v>1244</v>
      </c>
      <c r="F23" s="94"/>
    </row>
    <row r="24" spans="1:6" s="93" customFormat="1" ht="16.5" customHeight="1"/>
    <row r="25" spans="1:6" s="93" customFormat="1" ht="16.5" customHeight="1">
      <c r="B25" s="562" t="s">
        <v>1649</v>
      </c>
      <c r="C25" s="563"/>
      <c r="D25" s="563"/>
      <c r="E25" s="564"/>
    </row>
    <row r="26" spans="1:6" s="93" customFormat="1" ht="16.5" customHeight="1">
      <c r="B26" s="111" t="s">
        <v>1650</v>
      </c>
      <c r="C26" s="100" t="s">
        <v>1680</v>
      </c>
      <c r="D26" s="110" t="s">
        <v>1657</v>
      </c>
      <c r="E26" s="112" t="s">
        <v>1681</v>
      </c>
    </row>
    <row r="27" spans="1:6" s="93" customFormat="1" ht="16.5" customHeight="1">
      <c r="B27" s="99" t="s">
        <v>1651</v>
      </c>
      <c r="C27" s="110">
        <v>3</v>
      </c>
      <c r="D27" s="110">
        <v>139</v>
      </c>
      <c r="E27" s="101">
        <f>C27*D27</f>
        <v>417</v>
      </c>
    </row>
    <row r="28" spans="1:6" s="93" customFormat="1" ht="16.5" customHeight="1">
      <c r="B28" s="99" t="s">
        <v>1652</v>
      </c>
      <c r="C28" s="110">
        <v>6</v>
      </c>
      <c r="D28" s="110">
        <v>35</v>
      </c>
      <c r="E28" s="101">
        <f t="shared" ref="E28:E35" si="0">C28*D28</f>
        <v>210</v>
      </c>
    </row>
    <row r="29" spans="1:6" s="93" customFormat="1" ht="16.5" customHeight="1">
      <c r="B29" s="99" t="s">
        <v>1653</v>
      </c>
      <c r="C29" s="110">
        <v>2</v>
      </c>
      <c r="D29" s="110">
        <v>186</v>
      </c>
      <c r="E29" s="101">
        <f t="shared" si="0"/>
        <v>372</v>
      </c>
    </row>
    <row r="30" spans="1:6" s="93" customFormat="1" ht="16.5" customHeight="1">
      <c r="B30" s="99" t="s">
        <v>1682</v>
      </c>
      <c r="C30" s="110">
        <v>5</v>
      </c>
      <c r="D30" s="110">
        <v>99</v>
      </c>
      <c r="E30" s="101">
        <f t="shared" si="0"/>
        <v>495</v>
      </c>
    </row>
    <row r="31" spans="1:6" s="93" customFormat="1" ht="16.5" customHeight="1">
      <c r="A31" s="94"/>
      <c r="B31" s="99" t="s">
        <v>1654</v>
      </c>
      <c r="C31" s="110">
        <v>1</v>
      </c>
      <c r="D31" s="110">
        <v>358</v>
      </c>
      <c r="E31" s="101">
        <f t="shared" si="0"/>
        <v>358</v>
      </c>
    </row>
    <row r="32" spans="1:6" s="93" customFormat="1" ht="16.5" customHeight="1">
      <c r="B32" s="99" t="s">
        <v>1655</v>
      </c>
      <c r="C32" s="110">
        <v>3</v>
      </c>
      <c r="D32" s="110">
        <v>139</v>
      </c>
      <c r="E32" s="101">
        <f t="shared" si="0"/>
        <v>417</v>
      </c>
    </row>
    <row r="33" spans="2:8" s="93" customFormat="1" ht="16.5" customHeight="1">
      <c r="B33" s="99" t="s">
        <v>1683</v>
      </c>
      <c r="C33" s="110">
        <v>8</v>
      </c>
      <c r="D33" s="110">
        <v>29</v>
      </c>
      <c r="E33" s="101">
        <f t="shared" si="0"/>
        <v>232</v>
      </c>
      <c r="F33" s="94"/>
    </row>
    <row r="34" spans="2:8" s="93" customFormat="1" ht="16.5" customHeight="1">
      <c r="B34" s="99" t="s">
        <v>1684</v>
      </c>
      <c r="C34" s="110">
        <v>4</v>
      </c>
      <c r="D34" s="110">
        <v>209</v>
      </c>
      <c r="E34" s="101">
        <f t="shared" si="0"/>
        <v>836</v>
      </c>
      <c r="F34" s="94"/>
      <c r="H34" s="319"/>
    </row>
    <row r="35" spans="2:8" s="93" customFormat="1" ht="16.5" customHeight="1">
      <c r="B35" s="99" t="s">
        <v>1656</v>
      </c>
      <c r="C35" s="110">
        <v>2</v>
      </c>
      <c r="D35" s="110">
        <v>169</v>
      </c>
      <c r="E35" s="101">
        <f t="shared" si="0"/>
        <v>338</v>
      </c>
      <c r="F35" s="94"/>
    </row>
    <row r="36" spans="2:8" s="93" customFormat="1" ht="16.5" customHeight="1">
      <c r="B36" s="99"/>
      <c r="C36" s="110"/>
      <c r="D36" s="110"/>
      <c r="E36" s="101"/>
      <c r="F36" s="94"/>
    </row>
    <row r="37" spans="2:8" s="93" customFormat="1" ht="16.5" customHeight="1">
      <c r="B37" s="105"/>
      <c r="C37" s="113"/>
      <c r="D37" s="113"/>
      <c r="E37" s="107"/>
    </row>
    <row r="38" spans="2:8" s="93" customFormat="1" ht="16.5" customHeight="1">
      <c r="C38" s="312"/>
    </row>
    <row r="39" spans="2:8" s="93" customFormat="1" ht="16.5" customHeight="1">
      <c r="C39" s="94" t="s">
        <v>1884</v>
      </c>
      <c r="D39" s="93" t="s">
        <v>1431</v>
      </c>
      <c r="E39" s="104" t="s">
        <v>1238</v>
      </c>
    </row>
    <row r="40" spans="2:8" s="93" customFormat="1" ht="16.5" customHeight="1">
      <c r="B40" s="187" t="s">
        <v>1885</v>
      </c>
      <c r="C40" s="321">
        <v>0.95</v>
      </c>
      <c r="D40" s="93">
        <f>PRODUCT(C27,D27,$C$40:$C$41)</f>
        <v>356.53499999999997</v>
      </c>
      <c r="E40" s="158" t="s">
        <v>1886</v>
      </c>
      <c r="H40" s="93" t="s">
        <v>1887</v>
      </c>
    </row>
    <row r="41" spans="2:8" s="93" customFormat="1" ht="16.5" customHeight="1">
      <c r="B41" s="105" t="s">
        <v>1888</v>
      </c>
      <c r="C41" s="322">
        <v>0.9</v>
      </c>
      <c r="D41" s="93">
        <f>C27*D27*C40*C41</f>
        <v>356.53499999999997</v>
      </c>
      <c r="E41" s="108" t="s">
        <v>1889</v>
      </c>
    </row>
    <row r="42" spans="2:8" s="93" customFormat="1" ht="16.5" customHeight="1">
      <c r="B42" s="94"/>
      <c r="E42" s="158"/>
    </row>
    <row r="43" spans="2:8" s="93" customFormat="1" ht="16.5" customHeight="1">
      <c r="B43" s="94"/>
    </row>
    <row r="44" spans="2:8" s="93" customFormat="1" ht="16.5" customHeight="1">
      <c r="G44" s="4"/>
    </row>
    <row r="45" spans="2:8" s="93" customFormat="1" ht="16.5" customHeight="1">
      <c r="G45" s="4"/>
    </row>
  </sheetData>
  <mergeCells count="17">
    <mergeCell ref="A1:C1"/>
    <mergeCell ref="E1:F1"/>
    <mergeCell ref="A2:B2"/>
    <mergeCell ref="C2:M2"/>
    <mergeCell ref="A3:B3"/>
    <mergeCell ref="C3:M3"/>
    <mergeCell ref="A4:B4"/>
    <mergeCell ref="C4:M4"/>
    <mergeCell ref="A5:B5"/>
    <mergeCell ref="C5:M5"/>
    <mergeCell ref="A6:B6"/>
    <mergeCell ref="C6:M6"/>
    <mergeCell ref="C7:M7"/>
    <mergeCell ref="B8:M8"/>
    <mergeCell ref="B9:M9"/>
    <mergeCell ref="B10:L10"/>
    <mergeCell ref="B25:E25"/>
  </mergeCells>
  <phoneticPr fontId="2" type="noConversion"/>
  <pageMargins left="0.75" right="0.75" top="1" bottom="1" header="0.5" footer="0.5"/>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M117"/>
  <sheetViews>
    <sheetView workbookViewId="0">
      <selection activeCell="E1" sqref="E1:F1"/>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101</v>
      </c>
      <c r="B1" s="498"/>
      <c r="C1" s="499"/>
      <c r="D1" s="87"/>
      <c r="E1" s="500" t="str">
        <f>HYPERLINK("#目录!A60","跳转回到目录页")</f>
        <v>跳转回到目录页</v>
      </c>
      <c r="F1" s="501"/>
    </row>
    <row r="2" spans="1:13" s="88" customFormat="1" ht="26.25" customHeight="1">
      <c r="A2" s="502" t="s">
        <v>1216</v>
      </c>
      <c r="B2" s="502"/>
      <c r="C2" s="503" t="s">
        <v>102</v>
      </c>
      <c r="D2" s="503"/>
      <c r="E2" s="503"/>
      <c r="F2" s="503"/>
      <c r="G2" s="503"/>
      <c r="H2" s="503"/>
      <c r="I2" s="503"/>
      <c r="J2" s="503"/>
      <c r="K2" s="503"/>
      <c r="L2" s="503"/>
      <c r="M2" s="503"/>
    </row>
    <row r="3" spans="1:13" s="88" customFormat="1" ht="16.5" customHeight="1">
      <c r="A3" s="496" t="s">
        <v>1217</v>
      </c>
      <c r="B3" s="496"/>
      <c r="C3" s="493" t="s">
        <v>1890</v>
      </c>
      <c r="D3" s="493"/>
      <c r="E3" s="493"/>
      <c r="F3" s="493"/>
      <c r="G3" s="493"/>
      <c r="H3" s="493"/>
      <c r="I3" s="493"/>
      <c r="J3" s="493"/>
      <c r="K3" s="493"/>
      <c r="L3" s="493"/>
      <c r="M3" s="493"/>
    </row>
    <row r="4" spans="1:13" s="88" customFormat="1" ht="24.75" customHeight="1">
      <c r="A4" s="496" t="s">
        <v>5786</v>
      </c>
      <c r="B4" s="496"/>
      <c r="C4" s="493" t="s">
        <v>5951</v>
      </c>
      <c r="D4" s="497"/>
      <c r="E4" s="497"/>
      <c r="F4" s="497"/>
      <c r="G4" s="497"/>
      <c r="H4" s="497"/>
      <c r="I4" s="497"/>
      <c r="J4" s="497"/>
      <c r="K4" s="497"/>
      <c r="L4" s="497"/>
      <c r="M4" s="497"/>
    </row>
    <row r="5" spans="1:13" s="88" customFormat="1" ht="16.5" customHeight="1">
      <c r="A5" s="496" t="s">
        <v>1220</v>
      </c>
      <c r="B5" s="496"/>
      <c r="C5" s="493" t="s">
        <v>1891</v>
      </c>
      <c r="D5" s="493"/>
      <c r="E5" s="493"/>
      <c r="F5" s="493"/>
      <c r="G5" s="493"/>
      <c r="H5" s="493"/>
      <c r="I5" s="493"/>
      <c r="J5" s="493"/>
      <c r="K5" s="493"/>
      <c r="L5" s="493"/>
      <c r="M5" s="493"/>
    </row>
    <row r="6" spans="1:13" s="88" customFormat="1" ht="24.75" customHeight="1">
      <c r="A6" s="496" t="s">
        <v>5785</v>
      </c>
      <c r="B6" s="496"/>
      <c r="C6" s="493" t="s">
        <v>1892</v>
      </c>
      <c r="D6" s="493"/>
      <c r="E6" s="493"/>
      <c r="F6" s="493"/>
      <c r="G6" s="493"/>
      <c r="H6" s="493"/>
      <c r="I6" s="493"/>
      <c r="J6" s="493"/>
      <c r="K6" s="493"/>
      <c r="L6" s="493"/>
      <c r="M6" s="493"/>
    </row>
    <row r="7" spans="1:13" s="88" customFormat="1" ht="16.5" customHeight="1">
      <c r="A7" s="89" t="s">
        <v>1223</v>
      </c>
      <c r="B7" s="92" t="s">
        <v>1893</v>
      </c>
      <c r="C7" s="493" t="s">
        <v>1894</v>
      </c>
      <c r="D7" s="493"/>
      <c r="E7" s="493"/>
      <c r="F7" s="493"/>
      <c r="G7" s="493"/>
      <c r="H7" s="493"/>
      <c r="I7" s="493"/>
      <c r="J7" s="493"/>
      <c r="K7" s="493"/>
      <c r="L7" s="493"/>
      <c r="M7" s="493"/>
    </row>
    <row r="8" spans="1:13" s="88" customFormat="1" ht="16.5" customHeight="1">
      <c r="A8" s="89" t="s">
        <v>1228</v>
      </c>
      <c r="B8" s="493" t="s">
        <v>1895</v>
      </c>
      <c r="C8" s="493"/>
      <c r="D8" s="493"/>
      <c r="E8" s="493"/>
      <c r="F8" s="493"/>
      <c r="G8" s="493"/>
      <c r="H8" s="493"/>
      <c r="I8" s="493"/>
      <c r="J8" s="493"/>
      <c r="K8" s="493"/>
      <c r="L8" s="493"/>
      <c r="M8" s="493"/>
    </row>
    <row r="9" spans="1:13" ht="54.75" customHeight="1">
      <c r="A9" s="89" t="s">
        <v>1229</v>
      </c>
      <c r="B9" s="493" t="s">
        <v>5952</v>
      </c>
      <c r="C9" s="493"/>
      <c r="D9" s="493"/>
      <c r="E9" s="493"/>
      <c r="F9" s="493"/>
      <c r="G9" s="493"/>
      <c r="H9" s="493"/>
      <c r="I9" s="493"/>
      <c r="J9" s="493"/>
      <c r="K9" s="493"/>
      <c r="L9" s="493"/>
      <c r="M9" s="493"/>
    </row>
    <row r="10" spans="1:13" ht="21" customHeight="1">
      <c r="B10" s="494" t="s">
        <v>1231</v>
      </c>
      <c r="C10" s="494"/>
      <c r="D10" s="494"/>
      <c r="E10" s="494"/>
      <c r="F10" s="494"/>
      <c r="G10" s="494"/>
      <c r="H10" s="494"/>
      <c r="I10" s="494"/>
      <c r="J10" s="494"/>
      <c r="K10" s="494"/>
      <c r="L10" s="495"/>
    </row>
    <row r="11" spans="1:13" s="93" customFormat="1" ht="16.5" customHeight="1">
      <c r="A11" s="143" t="s">
        <v>1896</v>
      </c>
    </row>
    <row r="12" spans="1:13" s="93" customFormat="1" ht="16.5" customHeight="1">
      <c r="A12" s="94" t="s">
        <v>1232</v>
      </c>
      <c r="B12" s="93" t="s">
        <v>1773</v>
      </c>
    </row>
    <row r="13" spans="1:13" s="93" customFormat="1" ht="16.5" customHeight="1"/>
    <row r="14" spans="1:13" s="93" customFormat="1" ht="16.5" customHeight="1">
      <c r="B14" s="565" t="s">
        <v>1897</v>
      </c>
      <c r="C14" s="565"/>
      <c r="D14" s="94" t="s">
        <v>1876</v>
      </c>
      <c r="E14" s="104" t="s">
        <v>1238</v>
      </c>
    </row>
    <row r="15" spans="1:13" s="93" customFormat="1" ht="16.5" customHeight="1">
      <c r="B15" s="187">
        <v>1</v>
      </c>
      <c r="C15" s="138">
        <v>4</v>
      </c>
      <c r="D15" s="93">
        <f>SUMPRODUCT(B15:B17,C15:C17)</f>
        <v>32</v>
      </c>
      <c r="E15" s="108" t="s">
        <v>1898</v>
      </c>
    </row>
    <row r="16" spans="1:13" s="93" customFormat="1" ht="16.5" customHeight="1">
      <c r="B16" s="99">
        <v>2</v>
      </c>
      <c r="C16" s="101">
        <v>5</v>
      </c>
      <c r="D16" s="93">
        <f>1*4+2*5+3*6</f>
        <v>32</v>
      </c>
      <c r="E16" s="108" t="s">
        <v>1899</v>
      </c>
      <c r="F16" s="288"/>
      <c r="G16" s="93" t="s">
        <v>1900</v>
      </c>
    </row>
    <row r="17" spans="1:13" s="93" customFormat="1" ht="16.5" customHeight="1">
      <c r="B17" s="105">
        <v>3</v>
      </c>
      <c r="C17" s="107">
        <v>6</v>
      </c>
      <c r="E17" s="158"/>
    </row>
    <row r="18" spans="1:13" s="93" customFormat="1" ht="16.5" customHeight="1">
      <c r="E18" s="158"/>
    </row>
    <row r="19" spans="1:13" s="93" customFormat="1" ht="16.5" customHeight="1">
      <c r="E19" s="158"/>
    </row>
    <row r="20" spans="1:13" s="93" customFormat="1" ht="16.5" customHeight="1">
      <c r="A20" s="94" t="s">
        <v>1244</v>
      </c>
      <c r="B20" s="93" t="s">
        <v>1901</v>
      </c>
    </row>
    <row r="21" spans="1:13" s="93" customFormat="1" ht="16.5" customHeight="1">
      <c r="A21" s="94"/>
      <c r="B21" s="143"/>
    </row>
    <row r="22" spans="1:13" s="93" customFormat="1" ht="16.5" customHeight="1">
      <c r="A22" s="94"/>
      <c r="C22" s="116" t="s">
        <v>1431</v>
      </c>
      <c r="D22" s="104" t="s">
        <v>1238</v>
      </c>
      <c r="F22" s="116" t="s">
        <v>1902</v>
      </c>
      <c r="G22" s="93" t="s">
        <v>1903</v>
      </c>
    </row>
    <row r="23" spans="1:13" s="93" customFormat="1" ht="16.5" customHeight="1">
      <c r="B23" s="314" t="s">
        <v>1904</v>
      </c>
      <c r="C23" s="93">
        <f>SUMPRODUCT((B23:B32="每男每女")*1)</f>
        <v>2</v>
      </c>
      <c r="D23" s="588" t="s">
        <v>1905</v>
      </c>
      <c r="E23" s="589"/>
      <c r="F23" s="94">
        <f t="shared" ref="F23:F32" si="0">IF(B23="每男每女",1,0)</f>
        <v>1</v>
      </c>
      <c r="G23" s="493" t="s">
        <v>1906</v>
      </c>
      <c r="H23" s="493"/>
      <c r="I23" s="493"/>
      <c r="J23" s="493"/>
      <c r="K23" s="493"/>
      <c r="L23" s="493"/>
      <c r="M23" s="493"/>
    </row>
    <row r="24" spans="1:13" s="93" customFormat="1" ht="16.5" customHeight="1">
      <c r="B24" s="315" t="s">
        <v>1651</v>
      </c>
      <c r="C24" s="311"/>
      <c r="D24" s="589"/>
      <c r="E24" s="589"/>
      <c r="F24" s="94">
        <f t="shared" si="0"/>
        <v>0</v>
      </c>
      <c r="G24" s="493"/>
      <c r="H24" s="493"/>
      <c r="I24" s="493"/>
      <c r="J24" s="493"/>
      <c r="K24" s="493"/>
      <c r="L24" s="493"/>
      <c r="M24" s="493"/>
    </row>
    <row r="25" spans="1:13" s="93" customFormat="1" ht="16.5" customHeight="1">
      <c r="B25" s="315" t="s">
        <v>1652</v>
      </c>
      <c r="C25" s="148"/>
      <c r="F25" s="94">
        <f t="shared" si="0"/>
        <v>0</v>
      </c>
      <c r="G25" s="493"/>
      <c r="H25" s="493"/>
      <c r="I25" s="493"/>
      <c r="J25" s="493"/>
      <c r="K25" s="493"/>
      <c r="L25" s="493"/>
      <c r="M25" s="493"/>
    </row>
    <row r="26" spans="1:13" s="93" customFormat="1" ht="16.5" customHeight="1">
      <c r="B26" s="315" t="s">
        <v>1653</v>
      </c>
      <c r="C26" s="148"/>
      <c r="F26" s="94">
        <f t="shared" si="0"/>
        <v>0</v>
      </c>
      <c r="G26" s="493"/>
      <c r="H26" s="493"/>
      <c r="I26" s="493"/>
      <c r="J26" s="493"/>
      <c r="K26" s="493"/>
      <c r="L26" s="493"/>
      <c r="M26" s="493"/>
    </row>
    <row r="27" spans="1:13" s="93" customFormat="1" ht="16.5" customHeight="1">
      <c r="B27" s="315" t="s">
        <v>1682</v>
      </c>
      <c r="C27" s="148"/>
      <c r="F27" s="94">
        <f t="shared" si="0"/>
        <v>0</v>
      </c>
      <c r="G27" s="493"/>
      <c r="H27" s="493"/>
      <c r="I27" s="493"/>
      <c r="J27" s="493"/>
      <c r="K27" s="493"/>
      <c r="L27" s="493"/>
      <c r="M27" s="493"/>
    </row>
    <row r="28" spans="1:13" s="93" customFormat="1" ht="16.5" customHeight="1">
      <c r="B28" s="315" t="s">
        <v>1654</v>
      </c>
      <c r="F28" s="94">
        <f t="shared" si="0"/>
        <v>0</v>
      </c>
      <c r="G28" s="116" t="s">
        <v>1431</v>
      </c>
      <c r="H28" s="93">
        <f>SUMPRODUCT(B23:B32="每男每女")</f>
        <v>0</v>
      </c>
      <c r="I28" s="104" t="s">
        <v>1238</v>
      </c>
      <c r="J28" s="158" t="s">
        <v>1907</v>
      </c>
    </row>
    <row r="29" spans="1:13" s="93" customFormat="1" ht="17.25" customHeight="1">
      <c r="B29" s="315" t="s">
        <v>1655</v>
      </c>
      <c r="F29" s="94">
        <f t="shared" si="0"/>
        <v>0</v>
      </c>
      <c r="G29" s="509" t="s">
        <v>1908</v>
      </c>
      <c r="H29" s="509"/>
      <c r="I29" s="509"/>
      <c r="J29" s="509"/>
      <c r="K29" s="509"/>
      <c r="L29" s="509"/>
      <c r="M29" s="509"/>
    </row>
    <row r="30" spans="1:13" s="93" customFormat="1" ht="17.25" customHeight="1">
      <c r="B30" s="315" t="s">
        <v>1904</v>
      </c>
      <c r="F30" s="94">
        <f t="shared" si="0"/>
        <v>1</v>
      </c>
      <c r="G30" s="509"/>
      <c r="H30" s="509"/>
      <c r="I30" s="509"/>
      <c r="J30" s="509"/>
      <c r="K30" s="509"/>
      <c r="L30" s="509"/>
      <c r="M30" s="509"/>
    </row>
    <row r="31" spans="1:13" s="93" customFormat="1" ht="17.25" customHeight="1">
      <c r="B31" s="315" t="s">
        <v>1684</v>
      </c>
      <c r="F31" s="94">
        <f t="shared" si="0"/>
        <v>0</v>
      </c>
      <c r="G31" s="509"/>
      <c r="H31" s="509"/>
      <c r="I31" s="509"/>
      <c r="J31" s="509"/>
      <c r="K31" s="509"/>
      <c r="L31" s="509"/>
      <c r="M31" s="509"/>
    </row>
    <row r="32" spans="1:13" s="93" customFormat="1" ht="16.5" customHeight="1">
      <c r="A32" s="94"/>
      <c r="B32" s="316" t="s">
        <v>1656</v>
      </c>
      <c r="F32" s="94">
        <f t="shared" si="0"/>
        <v>0</v>
      </c>
      <c r="G32" s="116" t="s">
        <v>1431</v>
      </c>
      <c r="H32" s="92">
        <f>SUMPRODUCT((B23:B32="每男每女")*1)</f>
        <v>2</v>
      </c>
      <c r="I32" s="104" t="s">
        <v>1238</v>
      </c>
      <c r="J32" s="108" t="s">
        <v>1905</v>
      </c>
      <c r="K32" s="92"/>
      <c r="L32" s="92"/>
      <c r="M32" s="92"/>
    </row>
    <row r="33" spans="1:13" s="93" customFormat="1" ht="16.5" customHeight="1">
      <c r="E33" s="116" t="s">
        <v>1521</v>
      </c>
      <c r="F33" s="93">
        <f>SUM(F23:F32)</f>
        <v>2</v>
      </c>
      <c r="G33" s="93" t="s">
        <v>1909</v>
      </c>
    </row>
    <row r="34" spans="1:13" s="93" customFormat="1" ht="16.5" customHeight="1">
      <c r="B34" s="94"/>
      <c r="C34" s="311"/>
      <c r="D34" s="311"/>
      <c r="E34" s="317" t="s">
        <v>1910</v>
      </c>
      <c r="F34" s="318" t="b">
        <f>B23="每男每女"</f>
        <v>1</v>
      </c>
      <c r="G34" s="116" t="s">
        <v>1431</v>
      </c>
      <c r="H34" s="93">
        <f>SUMPRODUCT((B23:B32="每男每女")+0)</f>
        <v>2</v>
      </c>
      <c r="I34" s="104" t="s">
        <v>1238</v>
      </c>
      <c r="J34" s="108" t="s">
        <v>1911</v>
      </c>
    </row>
    <row r="35" spans="1:13" s="93" customFormat="1" ht="16.5" customHeight="1">
      <c r="C35" s="312"/>
      <c r="E35" s="312"/>
      <c r="F35" s="94"/>
      <c r="G35" s="93" t="s">
        <v>1912</v>
      </c>
      <c r="H35" s="319"/>
    </row>
    <row r="36" spans="1:13" s="93" customFormat="1" ht="16.5" customHeight="1">
      <c r="C36" s="312"/>
      <c r="E36" s="312"/>
      <c r="F36" s="94"/>
      <c r="G36" s="116" t="s">
        <v>1431</v>
      </c>
      <c r="H36" s="93">
        <f>SUMPRODUCT(--(B23:B32="每男每女"))</f>
        <v>2</v>
      </c>
      <c r="I36" s="104" t="s">
        <v>1238</v>
      </c>
      <c r="J36" s="108" t="s">
        <v>1913</v>
      </c>
    </row>
    <row r="37" spans="1:13" s="93" customFormat="1" ht="16.5" customHeight="1">
      <c r="C37" s="312"/>
      <c r="E37" s="312"/>
      <c r="F37" s="94"/>
      <c r="G37" s="143" t="s">
        <v>1914</v>
      </c>
    </row>
    <row r="38" spans="1:13" s="93" customFormat="1" ht="16.5" customHeight="1">
      <c r="G38" s="509" t="s">
        <v>1915</v>
      </c>
      <c r="H38" s="509"/>
      <c r="I38" s="509"/>
      <c r="J38" s="509"/>
      <c r="K38" s="509"/>
      <c r="L38" s="509"/>
      <c r="M38" s="509"/>
    </row>
    <row r="39" spans="1:13" s="93" customFormat="1" ht="16.5" customHeight="1">
      <c r="C39" s="312"/>
      <c r="G39" s="509"/>
      <c r="H39" s="509"/>
      <c r="I39" s="509"/>
      <c r="J39" s="509"/>
      <c r="K39" s="509"/>
      <c r="L39" s="509"/>
      <c r="M39" s="509"/>
    </row>
    <row r="40" spans="1:13" s="93" customFormat="1" ht="16.5" customHeight="1">
      <c r="G40" s="509" t="s">
        <v>1916</v>
      </c>
      <c r="H40" s="509"/>
      <c r="I40" s="509"/>
      <c r="J40" s="509"/>
      <c r="K40" s="509"/>
      <c r="L40" s="509"/>
      <c r="M40" s="509"/>
    </row>
    <row r="41" spans="1:13" s="93" customFormat="1" ht="16.5" customHeight="1">
      <c r="G41" s="509"/>
      <c r="H41" s="509"/>
      <c r="I41" s="509"/>
      <c r="J41" s="509"/>
      <c r="K41" s="509"/>
      <c r="L41" s="509"/>
      <c r="M41" s="509"/>
    </row>
    <row r="42" spans="1:13" s="93" customFormat="1" ht="16.5" customHeight="1"/>
    <row r="43" spans="1:13" s="93" customFormat="1" ht="16.5" customHeight="1">
      <c r="A43" s="94" t="s">
        <v>1255</v>
      </c>
      <c r="B43" s="93" t="s">
        <v>1917</v>
      </c>
    </row>
    <row r="44" spans="1:13" s="93" customFormat="1" ht="16.5" customHeight="1">
      <c r="B44" s="94"/>
    </row>
    <row r="45" spans="1:13" s="93" customFormat="1" ht="16.5" customHeight="1">
      <c r="B45" s="562" t="s">
        <v>1649</v>
      </c>
      <c r="C45" s="563"/>
      <c r="D45" s="563"/>
      <c r="E45" s="564"/>
    </row>
    <row r="46" spans="1:13" s="93" customFormat="1" ht="16.5" customHeight="1">
      <c r="B46" s="111" t="s">
        <v>1650</v>
      </c>
      <c r="C46" s="100" t="s">
        <v>1918</v>
      </c>
      <c r="D46" s="110" t="s">
        <v>1680</v>
      </c>
      <c r="E46" s="112" t="s">
        <v>1657</v>
      </c>
      <c r="G46" s="518" t="s">
        <v>1919</v>
      </c>
      <c r="H46" s="518"/>
    </row>
    <row r="47" spans="1:13" s="93" customFormat="1" ht="16.5" customHeight="1">
      <c r="B47" s="99" t="s">
        <v>1651</v>
      </c>
      <c r="C47" s="100" t="s">
        <v>1920</v>
      </c>
      <c r="D47" s="110">
        <v>3</v>
      </c>
      <c r="E47" s="101">
        <v>139</v>
      </c>
      <c r="G47" s="95" t="s">
        <v>1650</v>
      </c>
      <c r="H47" s="138" t="s">
        <v>1651</v>
      </c>
    </row>
    <row r="48" spans="1:13" s="93" customFormat="1" ht="16.5" customHeight="1">
      <c r="B48" s="99" t="s">
        <v>1652</v>
      </c>
      <c r="C48" s="100" t="s">
        <v>1921</v>
      </c>
      <c r="D48" s="110">
        <v>6</v>
      </c>
      <c r="E48" s="101">
        <v>35</v>
      </c>
      <c r="G48" s="151" t="s">
        <v>1918</v>
      </c>
      <c r="H48" s="107" t="s">
        <v>1920</v>
      </c>
    </row>
    <row r="49" spans="1:10" s="93" customFormat="1" ht="16.5" customHeight="1">
      <c r="B49" s="99" t="s">
        <v>1653</v>
      </c>
      <c r="C49" s="100" t="s">
        <v>1922</v>
      </c>
      <c r="D49" s="110">
        <v>2</v>
      </c>
      <c r="E49" s="101">
        <v>186</v>
      </c>
    </row>
    <row r="50" spans="1:10" s="93" customFormat="1" ht="16.5" customHeight="1">
      <c r="B50" s="99" t="s">
        <v>1651</v>
      </c>
      <c r="C50" s="100" t="s">
        <v>1923</v>
      </c>
      <c r="D50" s="110">
        <v>5</v>
      </c>
      <c r="E50" s="101">
        <v>99</v>
      </c>
      <c r="G50" s="116" t="s">
        <v>1924</v>
      </c>
      <c r="H50" s="104" t="s">
        <v>1238</v>
      </c>
    </row>
    <row r="51" spans="1:10" s="93" customFormat="1" ht="16.5" customHeight="1">
      <c r="B51" s="99" t="s">
        <v>1654</v>
      </c>
      <c r="C51" s="100" t="s">
        <v>1920</v>
      </c>
      <c r="D51" s="110">
        <v>1</v>
      </c>
      <c r="E51" s="101">
        <v>358</v>
      </c>
      <c r="G51" s="93">
        <f>SUMPRODUCT(($B$47:$B$57="文胸G66")*($C$47:$C$57="红"),E47:E57)</f>
        <v>139</v>
      </c>
      <c r="H51" s="108" t="s">
        <v>1925</v>
      </c>
      <c r="I51" s="158"/>
    </row>
    <row r="52" spans="1:10" s="93" customFormat="1" ht="16.5" customHeight="1">
      <c r="B52" s="99" t="s">
        <v>1655</v>
      </c>
      <c r="C52" s="100" t="s">
        <v>1926</v>
      </c>
      <c r="D52" s="110">
        <v>3</v>
      </c>
      <c r="E52" s="101">
        <v>139</v>
      </c>
      <c r="G52" s="116" t="s">
        <v>1927</v>
      </c>
      <c r="H52" s="104" t="s">
        <v>1238</v>
      </c>
      <c r="I52" s="158"/>
    </row>
    <row r="53" spans="1:10" s="93" customFormat="1" ht="16.5" customHeight="1">
      <c r="B53" s="99" t="s">
        <v>1683</v>
      </c>
      <c r="C53" s="100" t="s">
        <v>1922</v>
      </c>
      <c r="D53" s="110">
        <v>8</v>
      </c>
      <c r="E53" s="101">
        <v>29</v>
      </c>
      <c r="G53" s="93">
        <f>SUMPRODUCT(($B$47:$B$57=H47)*($C$47:$C$57=H48),E47:E57)</f>
        <v>139</v>
      </c>
      <c r="H53" s="108" t="s">
        <v>1928</v>
      </c>
      <c r="I53" s="158"/>
    </row>
    <row r="54" spans="1:10" s="93" customFormat="1" ht="16.5" customHeight="1">
      <c r="B54" s="99" t="s">
        <v>1684</v>
      </c>
      <c r="C54" s="100" t="s">
        <v>1921</v>
      </c>
      <c r="D54" s="110">
        <v>4</v>
      </c>
      <c r="E54" s="101">
        <v>209</v>
      </c>
      <c r="G54" s="116" t="s">
        <v>1929</v>
      </c>
      <c r="H54" s="104" t="s">
        <v>1238</v>
      </c>
      <c r="I54" s="158" t="s">
        <v>1930</v>
      </c>
    </row>
    <row r="55" spans="1:10" s="93" customFormat="1" ht="16.5" customHeight="1">
      <c r="B55" s="99" t="s">
        <v>1656</v>
      </c>
      <c r="C55" s="100" t="s">
        <v>1920</v>
      </c>
      <c r="D55" s="110">
        <v>2</v>
      </c>
      <c r="E55" s="101">
        <v>169</v>
      </c>
      <c r="G55" s="93">
        <f>SUM(PRODUCT(B47,C47,E47),PRODUCT(B48,C48,E48),PRODUCT(B49,C49,E49))</f>
        <v>360</v>
      </c>
      <c r="H55" s="108" t="s">
        <v>1931</v>
      </c>
    </row>
    <row r="56" spans="1:10" s="93" customFormat="1" ht="16.5" customHeight="1">
      <c r="B56" s="99"/>
      <c r="C56" s="110"/>
      <c r="D56" s="110"/>
      <c r="E56" s="101"/>
      <c r="H56" s="158"/>
    </row>
    <row r="57" spans="1:10" s="93" customFormat="1" ht="16.5" customHeight="1">
      <c r="B57" s="105"/>
      <c r="C57" s="113"/>
      <c r="D57" s="113"/>
      <c r="E57" s="107"/>
      <c r="H57" s="158"/>
    </row>
    <row r="58" spans="1:10" s="93" customFormat="1" ht="16.5" customHeight="1"/>
    <row r="59" spans="1:10" s="93" customFormat="1" ht="16.5" customHeight="1">
      <c r="A59" s="94" t="s">
        <v>1660</v>
      </c>
      <c r="B59" s="93" t="s">
        <v>1917</v>
      </c>
    </row>
    <row r="60" spans="1:10" s="93" customFormat="1" ht="16.5" customHeight="1"/>
    <row r="61" spans="1:10" s="93" customFormat="1" ht="16.5" customHeight="1">
      <c r="B61" s="518" t="s">
        <v>1932</v>
      </c>
      <c r="C61" s="518"/>
      <c r="D61" s="518"/>
      <c r="E61" s="518"/>
    </row>
    <row r="62" spans="1:10" s="93" customFormat="1" ht="16.5" customHeight="1">
      <c r="B62" s="95" t="s">
        <v>1246</v>
      </c>
      <c r="C62" s="96" t="s">
        <v>1838</v>
      </c>
      <c r="D62" s="96" t="s">
        <v>1933</v>
      </c>
      <c r="E62" s="97" t="s">
        <v>1839</v>
      </c>
    </row>
    <row r="63" spans="1:10" s="93" customFormat="1" ht="16.5" customHeight="1">
      <c r="B63" s="111" t="s">
        <v>1375</v>
      </c>
      <c r="C63" s="100"/>
      <c r="D63" s="100"/>
      <c r="E63" s="112"/>
      <c r="G63" s="94" t="s">
        <v>1934</v>
      </c>
      <c r="H63" s="94" t="s">
        <v>1844</v>
      </c>
      <c r="I63" s="94" t="s">
        <v>1846</v>
      </c>
      <c r="J63" s="104" t="s">
        <v>1238</v>
      </c>
    </row>
    <row r="64" spans="1:10" s="93" customFormat="1" ht="16.5" customHeight="1">
      <c r="B64" s="111" t="s">
        <v>1843</v>
      </c>
      <c r="C64" s="100" t="s">
        <v>1618</v>
      </c>
      <c r="D64" s="100" t="s">
        <v>1935</v>
      </c>
      <c r="E64" s="112" t="s">
        <v>1844</v>
      </c>
      <c r="F64" s="59" t="b">
        <f>D64=$G$64</f>
        <v>0</v>
      </c>
      <c r="G64" s="94" t="s">
        <v>1936</v>
      </c>
      <c r="H64" s="93">
        <f>SUMPRODUCT(($D$64:$D$73=G64)*($E$64:$E$73=H63))</f>
        <v>3</v>
      </c>
      <c r="I64" s="93">
        <f>SUMPRODUCT(($D$64:$D$73=G64)*($E$64:$E$73=I63))</f>
        <v>1</v>
      </c>
      <c r="J64" s="108" t="s">
        <v>1937</v>
      </c>
    </row>
    <row r="65" spans="2:13" s="93" customFormat="1" ht="16.5" customHeight="1">
      <c r="B65" s="111" t="s">
        <v>1845</v>
      </c>
      <c r="C65" s="100" t="s">
        <v>1618</v>
      </c>
      <c r="D65" s="100" t="s">
        <v>1936</v>
      </c>
      <c r="E65" s="112" t="s">
        <v>1846</v>
      </c>
      <c r="F65" s="59" t="b">
        <f t="shared" ref="F65:F73" si="1">D65=$G$64</f>
        <v>1</v>
      </c>
      <c r="G65" s="94" t="s">
        <v>1935</v>
      </c>
      <c r="H65" s="93">
        <f>SUMPRODUCT(($D$64:$D$73=G65)*($E$64:$E$73=H63))</f>
        <v>3</v>
      </c>
      <c r="I65" s="93">
        <f>SUMPRODUCT(($D$64:$D$73=G65)*($E$64:$E$73=I63))</f>
        <v>3</v>
      </c>
    </row>
    <row r="66" spans="2:13" s="93" customFormat="1" ht="16.5" customHeight="1">
      <c r="B66" s="111" t="s">
        <v>1847</v>
      </c>
      <c r="C66" s="100" t="s">
        <v>1618</v>
      </c>
      <c r="D66" s="100" t="s">
        <v>1935</v>
      </c>
      <c r="E66" s="112" t="s">
        <v>1844</v>
      </c>
      <c r="F66" s="59" t="b">
        <f t="shared" si="1"/>
        <v>0</v>
      </c>
    </row>
    <row r="67" spans="2:13" s="93" customFormat="1" ht="16.5" customHeight="1">
      <c r="B67" s="111" t="s">
        <v>1848</v>
      </c>
      <c r="C67" s="100" t="s">
        <v>1618</v>
      </c>
      <c r="D67" s="100" t="s">
        <v>1936</v>
      </c>
      <c r="E67" s="112" t="s">
        <v>1844</v>
      </c>
      <c r="F67" s="59" t="b">
        <f t="shared" si="1"/>
        <v>1</v>
      </c>
      <c r="G67" s="93" t="s">
        <v>1938</v>
      </c>
    </row>
    <row r="68" spans="2:13" s="93" customFormat="1" ht="16.5" customHeight="1">
      <c r="B68" s="111" t="s">
        <v>1849</v>
      </c>
      <c r="C68" s="100" t="s">
        <v>1612</v>
      </c>
      <c r="D68" s="100" t="s">
        <v>1936</v>
      </c>
      <c r="E68" s="112" t="s">
        <v>1844</v>
      </c>
      <c r="F68" s="59" t="b">
        <f t="shared" si="1"/>
        <v>1</v>
      </c>
      <c r="G68" s="509" t="s">
        <v>1939</v>
      </c>
      <c r="H68" s="509"/>
      <c r="I68" s="509"/>
      <c r="J68" s="509"/>
      <c r="K68" s="509"/>
      <c r="L68" s="509"/>
      <c r="M68" s="509"/>
    </row>
    <row r="69" spans="2:13" s="93" customFormat="1" ht="16.5" customHeight="1">
      <c r="B69" s="111" t="s">
        <v>1850</v>
      </c>
      <c r="C69" s="100" t="s">
        <v>1618</v>
      </c>
      <c r="D69" s="100" t="s">
        <v>1935</v>
      </c>
      <c r="E69" s="112" t="s">
        <v>1846</v>
      </c>
      <c r="F69" s="59" t="b">
        <f t="shared" si="1"/>
        <v>0</v>
      </c>
      <c r="G69" s="509"/>
      <c r="H69" s="509"/>
      <c r="I69" s="509"/>
      <c r="J69" s="509"/>
      <c r="K69" s="509"/>
      <c r="L69" s="509"/>
      <c r="M69" s="509"/>
    </row>
    <row r="70" spans="2:13" s="93" customFormat="1" ht="16.5" customHeight="1">
      <c r="B70" s="111" t="s">
        <v>1851</v>
      </c>
      <c r="C70" s="100" t="s">
        <v>1612</v>
      </c>
      <c r="D70" s="100" t="s">
        <v>1935</v>
      </c>
      <c r="E70" s="112" t="s">
        <v>1844</v>
      </c>
      <c r="F70" s="59" t="b">
        <f t="shared" si="1"/>
        <v>0</v>
      </c>
      <c r="G70" s="509"/>
      <c r="H70" s="509"/>
      <c r="I70" s="509"/>
      <c r="J70" s="509"/>
      <c r="K70" s="509"/>
      <c r="L70" s="509"/>
      <c r="M70" s="509"/>
    </row>
    <row r="71" spans="2:13" s="93" customFormat="1" ht="16.5" customHeight="1">
      <c r="B71" s="111" t="s">
        <v>1852</v>
      </c>
      <c r="C71" s="100" t="s">
        <v>1618</v>
      </c>
      <c r="D71" s="100" t="s">
        <v>1935</v>
      </c>
      <c r="E71" s="112" t="s">
        <v>1846</v>
      </c>
      <c r="F71" s="59" t="b">
        <f t="shared" si="1"/>
        <v>0</v>
      </c>
      <c r="G71" s="509" t="s">
        <v>1940</v>
      </c>
      <c r="H71" s="509"/>
      <c r="I71" s="509"/>
      <c r="J71" s="509"/>
      <c r="K71" s="509"/>
      <c r="L71" s="509"/>
      <c r="M71" s="509"/>
    </row>
    <row r="72" spans="2:13" s="93" customFormat="1" ht="16.5" customHeight="1">
      <c r="B72" s="111" t="s">
        <v>1853</v>
      </c>
      <c r="C72" s="100" t="s">
        <v>1618</v>
      </c>
      <c r="D72" s="100" t="s">
        <v>1936</v>
      </c>
      <c r="E72" s="112" t="s">
        <v>1844</v>
      </c>
      <c r="F72" s="59" t="b">
        <f t="shared" si="1"/>
        <v>1</v>
      </c>
      <c r="G72" s="93" t="s">
        <v>1941</v>
      </c>
    </row>
    <row r="73" spans="2:13" s="93" customFormat="1" ht="16.5" customHeight="1">
      <c r="B73" s="111" t="s">
        <v>1854</v>
      </c>
      <c r="C73" s="100" t="s">
        <v>1618</v>
      </c>
      <c r="D73" s="100" t="s">
        <v>1935</v>
      </c>
      <c r="E73" s="112" t="s">
        <v>1846</v>
      </c>
      <c r="F73" s="59" t="b">
        <f t="shared" si="1"/>
        <v>0</v>
      </c>
      <c r="G73" s="93" t="s">
        <v>1942</v>
      </c>
    </row>
    <row r="74" spans="2:13" s="93" customFormat="1" ht="16.5" customHeight="1">
      <c r="B74" s="151" t="s">
        <v>1375</v>
      </c>
      <c r="C74" s="106"/>
      <c r="D74" s="106"/>
      <c r="E74" s="150"/>
      <c r="G74" s="93" t="s">
        <v>1943</v>
      </c>
    </row>
    <row r="75" spans="2:13" s="93" customFormat="1" ht="16.5" customHeight="1">
      <c r="G75" s="93" t="s">
        <v>1944</v>
      </c>
    </row>
    <row r="76" spans="2:13" s="93" customFormat="1" ht="16.5" customHeight="1">
      <c r="G76" s="549" t="s">
        <v>1945</v>
      </c>
      <c r="H76" s="549"/>
      <c r="I76" s="549"/>
      <c r="J76" s="549"/>
      <c r="K76" s="549"/>
      <c r="L76" s="549"/>
      <c r="M76" s="549"/>
    </row>
    <row r="77" spans="2:13" s="93" customFormat="1" ht="16.5" customHeight="1"/>
    <row r="78" spans="2:13" s="93" customFormat="1" ht="16.5" customHeight="1"/>
    <row r="79" spans="2:13" s="93" customFormat="1" ht="18" customHeight="1">
      <c r="B79" s="320" t="s">
        <v>1946</v>
      </c>
    </row>
    <row r="80" spans="2:13" s="93" customFormat="1" ht="27" customHeight="1">
      <c r="B80" s="586" t="s">
        <v>1947</v>
      </c>
      <c r="C80" s="586"/>
      <c r="D80" s="586"/>
      <c r="E80" s="586"/>
      <c r="F80" s="586"/>
      <c r="G80" s="586"/>
      <c r="H80" s="586"/>
      <c r="I80" s="586"/>
      <c r="J80" s="586"/>
      <c r="K80" s="586"/>
      <c r="L80" s="586"/>
      <c r="M80" s="586"/>
    </row>
    <row r="81" spans="1:13" s="93" customFormat="1" ht="16.5" customHeight="1">
      <c r="B81" s="509" t="s">
        <v>1948</v>
      </c>
      <c r="C81" s="509"/>
      <c r="D81" s="509"/>
      <c r="E81" s="509"/>
      <c r="F81" s="509"/>
      <c r="G81" s="509"/>
      <c r="H81" s="509"/>
      <c r="I81" s="509"/>
      <c r="J81" s="509"/>
      <c r="K81" s="509"/>
      <c r="L81" s="509"/>
      <c r="M81" s="92"/>
    </row>
    <row r="82" spans="1:13" s="93" customFormat="1" ht="16.5" customHeight="1">
      <c r="B82" s="509"/>
      <c r="C82" s="509"/>
      <c r="D82" s="509"/>
      <c r="E82" s="509"/>
      <c r="F82" s="509"/>
      <c r="G82" s="509"/>
      <c r="H82" s="509"/>
      <c r="I82" s="509"/>
      <c r="J82" s="509"/>
      <c r="K82" s="509"/>
      <c r="L82" s="509"/>
      <c r="M82" s="92"/>
    </row>
    <row r="83" spans="1:13" s="93" customFormat="1" ht="15" customHeight="1">
      <c r="B83" s="509"/>
      <c r="C83" s="509"/>
      <c r="D83" s="509"/>
      <c r="E83" s="509"/>
      <c r="F83" s="509"/>
      <c r="G83" s="509"/>
      <c r="H83" s="509"/>
      <c r="I83" s="509"/>
      <c r="J83" s="509"/>
      <c r="K83" s="509"/>
      <c r="L83" s="509"/>
      <c r="M83" s="92"/>
    </row>
    <row r="84" spans="1:13" s="93" customFormat="1" ht="16.5" customHeight="1">
      <c r="B84" s="92"/>
      <c r="C84" s="92"/>
      <c r="D84" s="92"/>
      <c r="E84" s="92"/>
      <c r="F84" s="92"/>
      <c r="G84" s="92"/>
      <c r="H84" s="92"/>
      <c r="I84" s="92"/>
      <c r="J84" s="92"/>
      <c r="K84" s="92"/>
      <c r="L84" s="92"/>
      <c r="M84" s="92"/>
    </row>
    <row r="85" spans="1:13" s="93" customFormat="1" ht="16.5" customHeight="1"/>
    <row r="86" spans="1:13" s="93" customFormat="1" ht="16.5" customHeight="1"/>
    <row r="87" spans="1:13" s="93" customFormat="1" ht="16.5" customHeight="1"/>
    <row r="88" spans="1:13" s="93" customFormat="1" ht="16.5" customHeight="1"/>
    <row r="89" spans="1:13" s="93" customFormat="1" ht="16.5" customHeight="1">
      <c r="A89" s="94" t="s">
        <v>1665</v>
      </c>
      <c r="B89" s="93" t="s">
        <v>1949</v>
      </c>
    </row>
    <row r="90" spans="1:13" s="93" customFormat="1" ht="16.5" customHeight="1">
      <c r="B90" s="187"/>
      <c r="C90" s="188">
        <v>1</v>
      </c>
      <c r="D90" s="188">
        <v>2</v>
      </c>
      <c r="E90" s="188">
        <v>3</v>
      </c>
      <c r="F90" s="188">
        <v>4</v>
      </c>
      <c r="G90" s="188">
        <v>5</v>
      </c>
      <c r="H90" s="188">
        <v>6</v>
      </c>
      <c r="I90" s="188">
        <v>7</v>
      </c>
      <c r="J90" s="188">
        <v>8</v>
      </c>
      <c r="K90" s="188">
        <v>9</v>
      </c>
      <c r="L90" s="138">
        <v>10</v>
      </c>
    </row>
    <row r="91" spans="1:13" s="93" customFormat="1" ht="16.5" customHeight="1">
      <c r="B91" s="105">
        <v>1</v>
      </c>
      <c r="C91" s="113">
        <v>2</v>
      </c>
      <c r="D91" s="113">
        <v>3</v>
      </c>
      <c r="E91" s="113">
        <v>4</v>
      </c>
      <c r="F91" s="113">
        <v>5</v>
      </c>
      <c r="G91" s="113">
        <v>6</v>
      </c>
      <c r="H91" s="113">
        <v>7</v>
      </c>
      <c r="I91" s="113">
        <v>8</v>
      </c>
      <c r="J91" s="113">
        <v>9</v>
      </c>
      <c r="K91" s="113">
        <v>10</v>
      </c>
      <c r="L91" s="107"/>
    </row>
    <row r="92" spans="1:13" s="93" customFormat="1" ht="16.5" customHeight="1"/>
    <row r="93" spans="1:13" s="93" customFormat="1" ht="16.5" customHeight="1">
      <c r="A93" s="116"/>
      <c r="B93" s="116" t="s">
        <v>1950</v>
      </c>
      <c r="C93" s="93">
        <f>SUMPRODUCT((MOD(COLUMN(C90:L90),2)=1)*(C90:L90))</f>
        <v>25</v>
      </c>
      <c r="D93" s="104" t="s">
        <v>1238</v>
      </c>
      <c r="E93" s="108" t="s">
        <v>1951</v>
      </c>
      <c r="J93" s="93" t="s">
        <v>1261</v>
      </c>
      <c r="L93" s="207">
        <v>1</v>
      </c>
    </row>
    <row r="94" spans="1:13" s="93" customFormat="1" ht="16.5" customHeight="1">
      <c r="C94" s="93">
        <f>SUMPRODUCT((MOD(COLUMN(B91:K91),2)=1)*(B91:K91))</f>
        <v>30</v>
      </c>
      <c r="D94" s="587" t="s">
        <v>1952</v>
      </c>
      <c r="E94" s="108" t="s">
        <v>1953</v>
      </c>
      <c r="J94" s="93" t="s">
        <v>1954</v>
      </c>
      <c r="L94" s="196">
        <v>2</v>
      </c>
    </row>
    <row r="95" spans="1:13" s="93" customFormat="1" ht="16.5" customHeight="1">
      <c r="B95" s="116" t="s">
        <v>1955</v>
      </c>
      <c r="C95" s="93">
        <f>SUMPRODUCT((MOD(COLUMN(C90:L90),2)=0)*(C90:L90))</f>
        <v>30</v>
      </c>
      <c r="D95" s="587"/>
      <c r="E95" s="108" t="s">
        <v>1956</v>
      </c>
      <c r="J95" s="93" t="s">
        <v>1957</v>
      </c>
      <c r="L95" s="196">
        <v>3</v>
      </c>
    </row>
    <row r="96" spans="1:13" s="93" customFormat="1" ht="16.5" customHeight="1">
      <c r="C96" s="93">
        <f>SUMPRODUCT((MOD(COLUMN(B91:K91),2)=0)*(B91:K91))</f>
        <v>25</v>
      </c>
      <c r="D96" s="587"/>
      <c r="E96" s="108" t="s">
        <v>1958</v>
      </c>
      <c r="J96" s="93" t="s">
        <v>1959</v>
      </c>
      <c r="L96" s="196">
        <v>4</v>
      </c>
    </row>
    <row r="97" spans="1:12" s="93" customFormat="1" ht="16.5" customHeight="1">
      <c r="B97" s="116" t="s">
        <v>1960</v>
      </c>
      <c r="C97" s="93">
        <f>SUMPRODUCT((MOD(ROW(L93:L99),2)=1)*(L93:L99))</f>
        <v>16</v>
      </c>
      <c r="D97" s="587"/>
      <c r="E97" s="108" t="s">
        <v>1961</v>
      </c>
      <c r="L97" s="196">
        <v>5</v>
      </c>
    </row>
    <row r="98" spans="1:12" s="93" customFormat="1" ht="16.5" customHeight="1">
      <c r="B98" s="116" t="s">
        <v>1962</v>
      </c>
      <c r="C98" s="93">
        <f>SUMPRODUCT((MOD(ROW(L93:L99),2)=0)*(L93:L99))</f>
        <v>12</v>
      </c>
      <c r="D98" s="587"/>
      <c r="E98" s="108" t="s">
        <v>1963</v>
      </c>
      <c r="L98" s="196">
        <v>6</v>
      </c>
    </row>
    <row r="99" spans="1:12" s="93" customFormat="1" ht="16.5" customHeight="1">
      <c r="L99" s="115">
        <v>7</v>
      </c>
    </row>
    <row r="100" spans="1:12" s="93" customFormat="1" ht="16.5" customHeight="1">
      <c r="A100" s="94" t="s">
        <v>1964</v>
      </c>
      <c r="B100" s="93" t="s">
        <v>1965</v>
      </c>
    </row>
    <row r="101" spans="1:12" s="93" customFormat="1" ht="16.5" customHeight="1"/>
    <row r="102" spans="1:12" s="93" customFormat="1" ht="16.5" customHeight="1">
      <c r="B102" s="518" t="s">
        <v>1932</v>
      </c>
      <c r="C102" s="518"/>
      <c r="D102" s="518"/>
      <c r="E102" s="518"/>
      <c r="F102" s="518"/>
      <c r="H102" s="95" t="s">
        <v>1607</v>
      </c>
      <c r="I102" s="96" t="s">
        <v>1966</v>
      </c>
      <c r="J102" s="97" t="s">
        <v>1967</v>
      </c>
    </row>
    <row r="103" spans="1:12" s="93" customFormat="1" ht="16.5" customHeight="1">
      <c r="B103" s="95" t="s">
        <v>1246</v>
      </c>
      <c r="C103" s="96" t="s">
        <v>1838</v>
      </c>
      <c r="D103" s="96" t="s">
        <v>1933</v>
      </c>
      <c r="E103" s="96" t="s">
        <v>1839</v>
      </c>
      <c r="F103" s="97" t="s">
        <v>1968</v>
      </c>
      <c r="H103" s="151" t="s">
        <v>1618</v>
      </c>
      <c r="I103" s="106">
        <v>23</v>
      </c>
      <c r="J103" s="150">
        <v>28</v>
      </c>
    </row>
    <row r="104" spans="1:12" s="93" customFormat="1" ht="16.5" customHeight="1">
      <c r="B104" s="111" t="s">
        <v>1375</v>
      </c>
      <c r="C104" s="100"/>
      <c r="D104" s="100"/>
      <c r="E104" s="100"/>
      <c r="F104" s="101"/>
      <c r="H104" s="93" t="s">
        <v>1969</v>
      </c>
    </row>
    <row r="105" spans="1:12" s="93" customFormat="1" ht="16.5" customHeight="1">
      <c r="B105" s="111" t="s">
        <v>1843</v>
      </c>
      <c r="C105" s="100" t="s">
        <v>1618</v>
      </c>
      <c r="D105" s="100" t="s">
        <v>1935</v>
      </c>
      <c r="E105" s="100" t="s">
        <v>1844</v>
      </c>
      <c r="F105" s="101">
        <v>20</v>
      </c>
      <c r="H105" s="93">
        <f>SUMPRODUCT((C104:C115="女")*(F104:F115&gt;=23)*(F104:F115&lt;=28))</f>
        <v>4</v>
      </c>
    </row>
    <row r="106" spans="1:12" s="93" customFormat="1" ht="16.5" customHeight="1">
      <c r="B106" s="111" t="s">
        <v>1845</v>
      </c>
      <c r="C106" s="100" t="s">
        <v>1618</v>
      </c>
      <c r="D106" s="100" t="s">
        <v>1936</v>
      </c>
      <c r="E106" s="100" t="s">
        <v>1846</v>
      </c>
      <c r="F106" s="101">
        <v>25</v>
      </c>
      <c r="H106" s="104" t="s">
        <v>1238</v>
      </c>
    </row>
    <row r="107" spans="1:12" s="93" customFormat="1" ht="16.5" customHeight="1">
      <c r="B107" s="111" t="s">
        <v>1847</v>
      </c>
      <c r="C107" s="100" t="s">
        <v>1618</v>
      </c>
      <c r="D107" s="100" t="s">
        <v>1935</v>
      </c>
      <c r="E107" s="100" t="s">
        <v>1844</v>
      </c>
      <c r="F107" s="101">
        <v>26</v>
      </c>
      <c r="H107" s="108" t="s">
        <v>1970</v>
      </c>
    </row>
    <row r="108" spans="1:12" s="93" customFormat="1" ht="16.5" customHeight="1">
      <c r="B108" s="111" t="s">
        <v>1848</v>
      </c>
      <c r="C108" s="100" t="s">
        <v>1618</v>
      </c>
      <c r="D108" s="100" t="s">
        <v>1936</v>
      </c>
      <c r="E108" s="100" t="s">
        <v>1844</v>
      </c>
      <c r="F108" s="101">
        <v>21</v>
      </c>
    </row>
    <row r="109" spans="1:12" s="93" customFormat="1" ht="16.5" customHeight="1">
      <c r="B109" s="111" t="s">
        <v>1849</v>
      </c>
      <c r="C109" s="100" t="s">
        <v>1612</v>
      </c>
      <c r="D109" s="100" t="s">
        <v>1936</v>
      </c>
      <c r="E109" s="100" t="s">
        <v>1844</v>
      </c>
      <c r="F109" s="101">
        <v>32</v>
      </c>
      <c r="H109" s="93" t="s">
        <v>1971</v>
      </c>
    </row>
    <row r="110" spans="1:12" s="93" customFormat="1" ht="16.5" customHeight="1">
      <c r="B110" s="111" t="s">
        <v>1850</v>
      </c>
      <c r="C110" s="100" t="s">
        <v>1618</v>
      </c>
      <c r="D110" s="100" t="s">
        <v>1935</v>
      </c>
      <c r="E110" s="100" t="s">
        <v>1846</v>
      </c>
      <c r="F110" s="101">
        <v>24</v>
      </c>
      <c r="H110" s="93">
        <f>SUMPRODUCT((C104:C115="女")*(F104:F115&gt;=23)*(F104:F115&lt;=28),F104:F115)</f>
        <v>100</v>
      </c>
    </row>
    <row r="111" spans="1:12" s="93" customFormat="1" ht="16.5" customHeight="1">
      <c r="B111" s="111" t="s">
        <v>1851</v>
      </c>
      <c r="C111" s="100" t="s">
        <v>1612</v>
      </c>
      <c r="D111" s="100" t="s">
        <v>1935</v>
      </c>
      <c r="E111" s="100" t="s">
        <v>1844</v>
      </c>
      <c r="F111" s="101">
        <v>33</v>
      </c>
      <c r="H111" s="108" t="s">
        <v>1972</v>
      </c>
    </row>
    <row r="112" spans="1:12" s="93" customFormat="1" ht="16.5" customHeight="1">
      <c r="B112" s="111" t="s">
        <v>1852</v>
      </c>
      <c r="C112" s="100" t="s">
        <v>1618</v>
      </c>
      <c r="D112" s="100" t="s">
        <v>1935</v>
      </c>
      <c r="E112" s="100" t="s">
        <v>1846</v>
      </c>
      <c r="F112" s="101">
        <v>25</v>
      </c>
    </row>
    <row r="113" spans="2:8" s="93" customFormat="1" ht="16.5" customHeight="1">
      <c r="B113" s="111" t="s">
        <v>1853</v>
      </c>
      <c r="C113" s="100" t="s">
        <v>1618</v>
      </c>
      <c r="D113" s="100" t="s">
        <v>1936</v>
      </c>
      <c r="E113" s="100" t="s">
        <v>1844</v>
      </c>
      <c r="F113" s="101">
        <v>21</v>
      </c>
      <c r="H113" s="93" t="s">
        <v>1973</v>
      </c>
    </row>
    <row r="114" spans="2:8" s="93" customFormat="1" ht="16.5" customHeight="1">
      <c r="B114" s="111" t="s">
        <v>1854</v>
      </c>
      <c r="C114" s="100" t="s">
        <v>1618</v>
      </c>
      <c r="D114" s="100" t="s">
        <v>1935</v>
      </c>
      <c r="E114" s="100" t="s">
        <v>1846</v>
      </c>
      <c r="F114" s="101">
        <v>20</v>
      </c>
      <c r="H114" s="93">
        <f>SUMPRODUCT((C104:C115=H103)*(F104:F115&gt;=I103)*(F104:F115&lt;=J103),F104:F115)</f>
        <v>100</v>
      </c>
    </row>
    <row r="115" spans="2:8" s="93" customFormat="1" ht="16.5" customHeight="1">
      <c r="B115" s="151" t="s">
        <v>1375</v>
      </c>
      <c r="C115" s="106"/>
      <c r="D115" s="106"/>
      <c r="E115" s="106"/>
      <c r="F115" s="107"/>
      <c r="H115" s="108" t="s">
        <v>1974</v>
      </c>
    </row>
    <row r="116" spans="2:8" s="93" customFormat="1" ht="16.5" customHeight="1"/>
    <row r="117" spans="2:8" s="93" customFormat="1" ht="16.5" customHeight="1"/>
  </sheetData>
  <mergeCells count="32">
    <mergeCell ref="A1:C1"/>
    <mergeCell ref="E1:F1"/>
    <mergeCell ref="A2:B2"/>
    <mergeCell ref="C2:M2"/>
    <mergeCell ref="A3:B3"/>
    <mergeCell ref="C3:M3"/>
    <mergeCell ref="D23:E24"/>
    <mergeCell ref="G23:M27"/>
    <mergeCell ref="G29:M31"/>
    <mergeCell ref="G38:M39"/>
    <mergeCell ref="A4:B4"/>
    <mergeCell ref="C4:M4"/>
    <mergeCell ref="A5:B5"/>
    <mergeCell ref="C5:M5"/>
    <mergeCell ref="A6:B6"/>
    <mergeCell ref="C6:M6"/>
    <mergeCell ref="C7:M7"/>
    <mergeCell ref="B8:M8"/>
    <mergeCell ref="B9:M9"/>
    <mergeCell ref="B10:L10"/>
    <mergeCell ref="B14:C14"/>
    <mergeCell ref="B80:M80"/>
    <mergeCell ref="B102:F102"/>
    <mergeCell ref="D94:D98"/>
    <mergeCell ref="B81:L83"/>
    <mergeCell ref="G68:M70"/>
    <mergeCell ref="G40:M41"/>
    <mergeCell ref="G46:H46"/>
    <mergeCell ref="B61:E61"/>
    <mergeCell ref="G71:M71"/>
    <mergeCell ref="G76:M76"/>
    <mergeCell ref="B45:E45"/>
  </mergeCells>
  <phoneticPr fontId="2" type="noConversion"/>
  <pageMargins left="0.75" right="0.75" top="1" bottom="1" header="0.5" footer="0.5"/>
  <pageSetup paperSize="9" orientation="portrait" horizontalDpi="0" verticalDpi="0"/>
  <headerFooter scaleWithDoc="0"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M20"/>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103</v>
      </c>
      <c r="B1" s="498"/>
      <c r="C1" s="499"/>
      <c r="D1" s="87"/>
      <c r="E1" s="500" t="str">
        <f>HYPERLINK("#目录!A61","跳转回到目录页")</f>
        <v>跳转回到目录页</v>
      </c>
      <c r="F1" s="501"/>
    </row>
    <row r="2" spans="1:13" s="88" customFormat="1" ht="26.25" customHeight="1">
      <c r="A2" s="502" t="s">
        <v>1216</v>
      </c>
      <c r="B2" s="502"/>
      <c r="C2" s="503" t="s">
        <v>104</v>
      </c>
      <c r="D2" s="503"/>
      <c r="E2" s="503"/>
      <c r="F2" s="503"/>
      <c r="G2" s="503"/>
      <c r="H2" s="503"/>
      <c r="I2" s="503"/>
      <c r="J2" s="503"/>
      <c r="K2" s="503"/>
      <c r="L2" s="503"/>
      <c r="M2" s="503"/>
    </row>
    <row r="3" spans="1:13" s="88" customFormat="1" ht="16.5" customHeight="1">
      <c r="A3" s="496" t="s">
        <v>1217</v>
      </c>
      <c r="B3" s="496"/>
      <c r="C3" s="493" t="s">
        <v>1975</v>
      </c>
      <c r="D3" s="493"/>
      <c r="E3" s="493"/>
      <c r="F3" s="493"/>
      <c r="G3" s="493"/>
      <c r="H3" s="493"/>
      <c r="I3" s="493"/>
      <c r="J3" s="493"/>
      <c r="K3" s="493"/>
      <c r="L3" s="493"/>
      <c r="M3" s="493"/>
    </row>
    <row r="4" spans="1:13" s="88" customFormat="1" ht="16.5" customHeight="1">
      <c r="A4" s="496" t="s">
        <v>5786</v>
      </c>
      <c r="B4" s="496"/>
      <c r="C4" s="497" t="s">
        <v>5950</v>
      </c>
      <c r="D4" s="497"/>
      <c r="E4" s="497"/>
      <c r="F4" s="497"/>
      <c r="G4" s="497"/>
      <c r="H4" s="497"/>
      <c r="I4" s="497"/>
      <c r="J4" s="497"/>
      <c r="K4" s="497"/>
      <c r="L4" s="497"/>
      <c r="M4" s="497"/>
    </row>
    <row r="5" spans="1:13" s="88" customFormat="1" ht="16.5" customHeight="1">
      <c r="A5" s="496" t="s">
        <v>1220</v>
      </c>
      <c r="B5" s="496"/>
      <c r="C5" s="493" t="s">
        <v>1976</v>
      </c>
      <c r="D5" s="493"/>
      <c r="E5" s="493"/>
      <c r="F5" s="493"/>
      <c r="G5" s="493"/>
      <c r="H5" s="493"/>
      <c r="I5" s="493"/>
      <c r="J5" s="493"/>
      <c r="K5" s="493"/>
      <c r="L5" s="493"/>
      <c r="M5" s="493"/>
    </row>
    <row r="6" spans="1:13" s="88" customFormat="1" ht="16.5" customHeight="1">
      <c r="A6" s="496" t="s">
        <v>5785</v>
      </c>
      <c r="B6" s="496"/>
      <c r="C6" s="493" t="s">
        <v>1977</v>
      </c>
      <c r="D6" s="493"/>
      <c r="E6" s="493"/>
      <c r="F6" s="493"/>
      <c r="G6" s="493"/>
      <c r="H6" s="493"/>
      <c r="I6" s="493"/>
      <c r="J6" s="493"/>
      <c r="K6" s="493"/>
      <c r="L6" s="493"/>
      <c r="M6" s="493"/>
    </row>
    <row r="7" spans="1:13" s="88" customFormat="1" ht="16.5" customHeight="1">
      <c r="A7" s="89" t="s">
        <v>1223</v>
      </c>
      <c r="B7" s="92" t="s">
        <v>1978</v>
      </c>
      <c r="C7" s="493" t="s">
        <v>1979</v>
      </c>
      <c r="D7" s="493"/>
      <c r="E7" s="493"/>
      <c r="F7" s="493"/>
      <c r="G7" s="493"/>
      <c r="H7" s="493"/>
      <c r="I7" s="493"/>
      <c r="J7" s="493"/>
      <c r="K7" s="493"/>
      <c r="L7" s="493"/>
      <c r="M7" s="493"/>
    </row>
    <row r="8" spans="1:13" s="88" customFormat="1" ht="16.5" customHeight="1">
      <c r="A8" s="89"/>
      <c r="B8" s="93" t="s">
        <v>1980</v>
      </c>
      <c r="C8" s="493" t="s">
        <v>1981</v>
      </c>
      <c r="D8" s="493"/>
      <c r="E8" s="493"/>
      <c r="F8" s="493"/>
      <c r="G8" s="493"/>
      <c r="H8" s="493"/>
      <c r="I8" s="493"/>
      <c r="J8" s="493"/>
      <c r="K8" s="493"/>
      <c r="L8" s="493"/>
      <c r="M8" s="493"/>
    </row>
    <row r="9" spans="1:13" s="88" customFormat="1" ht="16.5" customHeight="1">
      <c r="A9" s="89" t="s">
        <v>1228</v>
      </c>
      <c r="B9" s="493" t="s">
        <v>1982</v>
      </c>
      <c r="C9" s="493"/>
      <c r="D9" s="493"/>
      <c r="E9" s="493"/>
      <c r="F9" s="493"/>
      <c r="G9" s="493"/>
      <c r="H9" s="493"/>
      <c r="I9" s="493"/>
      <c r="J9" s="493"/>
      <c r="K9" s="493"/>
      <c r="L9" s="493"/>
      <c r="M9" s="493"/>
    </row>
    <row r="10" spans="1:13" ht="49.5" customHeight="1">
      <c r="A10" s="89" t="s">
        <v>1229</v>
      </c>
      <c r="B10" s="493" t="s">
        <v>1983</v>
      </c>
      <c r="C10" s="493"/>
      <c r="D10" s="493"/>
      <c r="E10" s="493"/>
      <c r="F10" s="493"/>
      <c r="G10" s="493"/>
      <c r="H10" s="493"/>
      <c r="I10" s="493"/>
      <c r="J10" s="493"/>
      <c r="K10" s="493"/>
      <c r="L10" s="493"/>
      <c r="M10" s="493"/>
    </row>
    <row r="11" spans="1:13" ht="21" customHeight="1">
      <c r="B11" s="494" t="s">
        <v>1231</v>
      </c>
      <c r="C11" s="494"/>
      <c r="D11" s="494"/>
      <c r="E11" s="494"/>
      <c r="F11" s="494"/>
      <c r="G11" s="494"/>
      <c r="H11" s="494"/>
      <c r="I11" s="494"/>
      <c r="J11" s="494"/>
      <c r="K11" s="494"/>
      <c r="L11" s="495"/>
    </row>
    <row r="12" spans="1:13" s="93" customFormat="1" ht="16.5" customHeight="1"/>
    <row r="13" spans="1:13" s="93" customFormat="1" ht="16.5" customHeight="1">
      <c r="A13" s="94" t="s">
        <v>1232</v>
      </c>
      <c r="B13" s="93" t="s">
        <v>1773</v>
      </c>
    </row>
    <row r="14" spans="1:13" s="93" customFormat="1" ht="16.5" customHeight="1">
      <c r="D14" s="94" t="s">
        <v>1876</v>
      </c>
      <c r="E14" s="104" t="s">
        <v>1238</v>
      </c>
    </row>
    <row r="15" spans="1:13" s="93" customFormat="1" ht="16.5" customHeight="1">
      <c r="B15" s="187">
        <v>12</v>
      </c>
      <c r="C15" s="138">
        <v>9</v>
      </c>
      <c r="D15" s="93">
        <f>SUMSQ(B15,C15)</f>
        <v>225</v>
      </c>
      <c r="E15" s="108" t="s">
        <v>1984</v>
      </c>
      <c r="F15" s="94"/>
      <c r="G15" s="108" t="s">
        <v>1985</v>
      </c>
    </row>
    <row r="16" spans="1:13" s="93" customFormat="1" ht="16.5" customHeight="1">
      <c r="B16" s="105">
        <v>3</v>
      </c>
      <c r="C16" s="107">
        <v>4</v>
      </c>
      <c r="D16" s="93">
        <f>SUM(B15*B15,C15*C15)</f>
        <v>225</v>
      </c>
      <c r="E16" s="108" t="s">
        <v>1986</v>
      </c>
      <c r="F16" s="158"/>
      <c r="G16" s="108" t="s">
        <v>1987</v>
      </c>
    </row>
    <row r="17" spans="3:7" s="93" customFormat="1" ht="16.5" customHeight="1">
      <c r="C17" s="148"/>
      <c r="D17" s="93">
        <f>SUM(12*12,9*9)</f>
        <v>225</v>
      </c>
      <c r="E17" s="108" t="s">
        <v>1988</v>
      </c>
      <c r="F17" s="288"/>
      <c r="G17" s="108" t="s">
        <v>1989</v>
      </c>
    </row>
    <row r="18" spans="3:7" s="93" customFormat="1" ht="16.5" customHeight="1">
      <c r="C18" s="148"/>
      <c r="D18" s="93">
        <f>SUMSQ(B15:C16)</f>
        <v>250</v>
      </c>
      <c r="E18" s="108" t="s">
        <v>1990</v>
      </c>
      <c r="G18" s="108" t="s">
        <v>1991</v>
      </c>
    </row>
    <row r="19" spans="3:7" s="93" customFormat="1" ht="16.5" customHeight="1">
      <c r="D19" s="93">
        <f>SUMSQ(B15)</f>
        <v>144</v>
      </c>
      <c r="E19" s="108" t="s">
        <v>1992</v>
      </c>
      <c r="G19" s="108" t="s">
        <v>1993</v>
      </c>
    </row>
    <row r="20" spans="3:7" s="93" customFormat="1" ht="16.5" customHeight="1"/>
  </sheetData>
  <mergeCells count="17">
    <mergeCell ref="A1:C1"/>
    <mergeCell ref="E1:F1"/>
    <mergeCell ref="A2:B2"/>
    <mergeCell ref="C2:M2"/>
    <mergeCell ref="A3:B3"/>
    <mergeCell ref="C3:M3"/>
    <mergeCell ref="A4:B4"/>
    <mergeCell ref="C4:M4"/>
    <mergeCell ref="A5:B5"/>
    <mergeCell ref="C5:M5"/>
    <mergeCell ref="A6:B6"/>
    <mergeCell ref="C6:M6"/>
    <mergeCell ref="C7:M7"/>
    <mergeCell ref="C8:M8"/>
    <mergeCell ref="B9:M9"/>
    <mergeCell ref="B10:M10"/>
    <mergeCell ref="B11:L11"/>
  </mergeCells>
  <phoneticPr fontId="2" type="noConversion"/>
  <pageMargins left="0.75" right="0.75" top="1" bottom="1" header="0.5" footer="0.5"/>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V225"/>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106</v>
      </c>
      <c r="B1" s="498"/>
      <c r="C1" s="499"/>
      <c r="D1" s="87"/>
      <c r="E1" s="500" t="str">
        <f>HYPERLINK("#目录!A63","跳转回到目录页")</f>
        <v>跳转回到目录页</v>
      </c>
      <c r="F1" s="501"/>
    </row>
    <row r="2" spans="1:13" s="88" customFormat="1" ht="26.25" customHeight="1">
      <c r="A2" s="502" t="s">
        <v>1216</v>
      </c>
      <c r="B2" s="502"/>
      <c r="C2" s="503" t="s">
        <v>107</v>
      </c>
      <c r="D2" s="503"/>
      <c r="E2" s="503"/>
      <c r="F2" s="503"/>
      <c r="G2" s="503"/>
      <c r="H2" s="503"/>
      <c r="I2" s="503"/>
      <c r="J2" s="503"/>
      <c r="K2" s="503"/>
      <c r="L2" s="503"/>
      <c r="M2" s="503"/>
    </row>
    <row r="3" spans="1:13" s="88" customFormat="1" ht="16.5" customHeight="1">
      <c r="A3" s="496" t="s">
        <v>1217</v>
      </c>
      <c r="B3" s="496"/>
      <c r="C3" s="493" t="s">
        <v>107</v>
      </c>
      <c r="D3" s="493"/>
      <c r="E3" s="493"/>
      <c r="F3" s="493"/>
      <c r="G3" s="493"/>
      <c r="H3" s="493"/>
      <c r="I3" s="493"/>
      <c r="J3" s="493"/>
      <c r="K3" s="493"/>
      <c r="L3" s="493"/>
      <c r="M3" s="493"/>
    </row>
    <row r="4" spans="1:13" s="88" customFormat="1" ht="16.5" customHeight="1">
      <c r="A4" s="496" t="s">
        <v>5786</v>
      </c>
      <c r="B4" s="496"/>
      <c r="C4" s="497" t="s">
        <v>107</v>
      </c>
      <c r="D4" s="497"/>
      <c r="E4" s="497"/>
      <c r="F4" s="497"/>
      <c r="G4" s="497"/>
      <c r="H4" s="497"/>
      <c r="I4" s="497"/>
      <c r="J4" s="497"/>
      <c r="K4" s="497"/>
      <c r="L4" s="497"/>
      <c r="M4" s="497"/>
    </row>
    <row r="5" spans="1:13" s="88" customFormat="1" ht="16.5" customHeight="1">
      <c r="A5" s="496" t="s">
        <v>1220</v>
      </c>
      <c r="B5" s="496"/>
      <c r="C5" s="493" t="s">
        <v>1994</v>
      </c>
      <c r="D5" s="493"/>
      <c r="E5" s="493"/>
      <c r="F5" s="493"/>
      <c r="G5" s="493"/>
      <c r="H5" s="493"/>
      <c r="I5" s="493"/>
      <c r="J5" s="493"/>
      <c r="K5" s="493"/>
      <c r="L5" s="493"/>
      <c r="M5" s="493"/>
    </row>
    <row r="6" spans="1:13" s="88" customFormat="1" ht="16.5" customHeight="1">
      <c r="A6" s="496" t="s">
        <v>5785</v>
      </c>
      <c r="B6" s="496"/>
      <c r="C6" s="493" t="s">
        <v>1995</v>
      </c>
      <c r="D6" s="493"/>
      <c r="E6" s="493"/>
      <c r="F6" s="493"/>
      <c r="G6" s="493"/>
      <c r="H6" s="493"/>
      <c r="I6" s="493"/>
      <c r="J6" s="493"/>
      <c r="K6" s="493"/>
      <c r="L6" s="493"/>
      <c r="M6" s="493"/>
    </row>
    <row r="7" spans="1:13" s="88" customFormat="1" ht="16.5" customHeight="1">
      <c r="A7" s="89" t="s">
        <v>1223</v>
      </c>
      <c r="B7" s="92" t="s">
        <v>1996</v>
      </c>
      <c r="C7" s="493" t="s">
        <v>1997</v>
      </c>
      <c r="D7" s="493"/>
      <c r="E7" s="493"/>
      <c r="F7" s="493"/>
      <c r="G7" s="493"/>
      <c r="H7" s="493"/>
      <c r="I7" s="493"/>
      <c r="J7" s="493"/>
      <c r="K7" s="493"/>
      <c r="L7" s="493"/>
      <c r="M7" s="493"/>
    </row>
    <row r="8" spans="1:13" s="88" customFormat="1" ht="16.5" customHeight="1">
      <c r="A8" s="89"/>
      <c r="B8" s="92" t="s">
        <v>1998</v>
      </c>
      <c r="C8" s="493" t="s">
        <v>1999</v>
      </c>
      <c r="D8" s="493"/>
      <c r="E8" s="493"/>
      <c r="F8" s="493"/>
      <c r="G8" s="493"/>
      <c r="H8" s="493"/>
      <c r="I8" s="493"/>
      <c r="J8" s="493"/>
      <c r="K8" s="493"/>
      <c r="L8" s="493"/>
      <c r="M8" s="493"/>
    </row>
    <row r="9" spans="1:13" s="88" customFormat="1" ht="16.5" customHeight="1">
      <c r="A9" s="89" t="s">
        <v>1228</v>
      </c>
      <c r="B9" s="493"/>
      <c r="C9" s="493"/>
      <c r="D9" s="493"/>
      <c r="E9" s="493"/>
      <c r="F9" s="493"/>
      <c r="G9" s="493"/>
      <c r="H9" s="493"/>
      <c r="I9" s="493"/>
      <c r="J9" s="493"/>
      <c r="K9" s="493"/>
      <c r="L9" s="493"/>
      <c r="M9" s="493"/>
    </row>
    <row r="10" spans="1:13" ht="16.5" customHeight="1">
      <c r="A10" s="89" t="s">
        <v>1229</v>
      </c>
      <c r="B10" s="493"/>
      <c r="C10" s="493"/>
      <c r="D10" s="493"/>
      <c r="E10" s="493"/>
      <c r="F10" s="493"/>
      <c r="G10" s="493"/>
      <c r="H10" s="493"/>
      <c r="I10" s="493"/>
      <c r="J10" s="493"/>
      <c r="K10" s="493"/>
      <c r="L10" s="493"/>
      <c r="M10" s="493"/>
    </row>
    <row r="11" spans="1:13" ht="21" customHeight="1">
      <c r="B11" s="494" t="s">
        <v>1231</v>
      </c>
      <c r="C11" s="494"/>
      <c r="D11" s="494"/>
      <c r="E11" s="494"/>
      <c r="F11" s="494"/>
      <c r="G11" s="494"/>
      <c r="H11" s="494"/>
      <c r="I11" s="494"/>
      <c r="J11" s="494"/>
      <c r="K11" s="494"/>
      <c r="L11" s="495"/>
    </row>
    <row r="12" spans="1:13" s="93" customFormat="1" ht="16.5" customHeight="1"/>
    <row r="13" spans="1:13" s="93" customFormat="1" ht="16.5" customHeight="1">
      <c r="A13" s="94" t="s">
        <v>1232</v>
      </c>
      <c r="B13" s="93" t="s">
        <v>1773</v>
      </c>
    </row>
    <row r="14" spans="1:13" s="93" customFormat="1" ht="16.5" customHeight="1"/>
    <row r="15" spans="1:13" s="93" customFormat="1" ht="16.5" customHeight="1">
      <c r="B15" s="518" t="s">
        <v>2000</v>
      </c>
      <c r="C15" s="518"/>
      <c r="D15" s="94"/>
      <c r="E15" s="94"/>
      <c r="F15" s="94"/>
    </row>
    <row r="16" spans="1:13" s="93" customFormat="1" ht="16.5" customHeight="1">
      <c r="B16" s="95" t="s">
        <v>1996</v>
      </c>
      <c r="C16" s="97" t="s">
        <v>1998</v>
      </c>
      <c r="E16" s="94" t="s">
        <v>2001</v>
      </c>
      <c r="F16" s="104" t="s">
        <v>1238</v>
      </c>
    </row>
    <row r="17" spans="1:6" s="93" customFormat="1" ht="16.5" customHeight="1">
      <c r="B17" s="99">
        <v>2</v>
      </c>
      <c r="C17" s="101">
        <v>3</v>
      </c>
      <c r="E17" s="93">
        <f>SUMSQ(B17,C17)</f>
        <v>13</v>
      </c>
      <c r="F17" s="158" t="s">
        <v>2002</v>
      </c>
    </row>
    <row r="18" spans="1:6" s="93" customFormat="1" ht="16.5" customHeight="1">
      <c r="B18" s="99">
        <v>5</v>
      </c>
      <c r="C18" s="101">
        <v>2</v>
      </c>
      <c r="E18" s="93">
        <f>SUMSQ(B18,C18)</f>
        <v>29</v>
      </c>
      <c r="F18" s="158" t="s">
        <v>2003</v>
      </c>
    </row>
    <row r="19" spans="1:6" s="93" customFormat="1" ht="16.5" customHeight="1">
      <c r="B19" s="99">
        <v>1</v>
      </c>
      <c r="C19" s="101">
        <v>3</v>
      </c>
      <c r="E19" s="93">
        <f>SUMSQ(B19,C19)</f>
        <v>10</v>
      </c>
      <c r="F19" s="158" t="s">
        <v>2004</v>
      </c>
    </row>
    <row r="20" spans="1:6" s="93" customFormat="1" ht="16.5" customHeight="1">
      <c r="B20" s="99">
        <v>0</v>
      </c>
      <c r="C20" s="101">
        <v>2</v>
      </c>
      <c r="E20" s="93">
        <f>SUMSQ(B20,C20)</f>
        <v>4</v>
      </c>
      <c r="F20" s="158" t="s">
        <v>2005</v>
      </c>
    </row>
    <row r="21" spans="1:6" s="93" customFormat="1" ht="16.5" customHeight="1">
      <c r="B21" s="99">
        <v>-4</v>
      </c>
      <c r="C21" s="101">
        <v>1</v>
      </c>
      <c r="E21" s="93">
        <f>SUMSQ(B21,C21)</f>
        <v>17</v>
      </c>
      <c r="F21" s="158" t="s">
        <v>2006</v>
      </c>
    </row>
    <row r="22" spans="1:6" s="93" customFormat="1" ht="16.5" customHeight="1">
      <c r="A22" s="94"/>
      <c r="B22" s="151" t="s">
        <v>2007</v>
      </c>
      <c r="C22" s="107">
        <f>SUMX2PY2(B17:B21,C17:C21)</f>
        <v>73</v>
      </c>
      <c r="D22" s="104" t="s">
        <v>1238</v>
      </c>
      <c r="E22" s="93">
        <f>SUM(E17:E21)</f>
        <v>73</v>
      </c>
      <c r="F22" s="158" t="s">
        <v>2008</v>
      </c>
    </row>
    <row r="23" spans="1:6" s="93" customFormat="1" ht="16.5" customHeight="1">
      <c r="D23" s="158" t="s">
        <v>2009</v>
      </c>
    </row>
    <row r="24" spans="1:6" s="93" customFormat="1" ht="16.5" customHeight="1">
      <c r="B24" s="94"/>
      <c r="C24" s="311"/>
      <c r="D24" s="311"/>
      <c r="E24" s="311"/>
      <c r="F24" s="94"/>
    </row>
    <row r="25" spans="1:6" s="93" customFormat="1" ht="16.5" customHeight="1">
      <c r="B25" s="94"/>
      <c r="C25" s="311"/>
      <c r="D25" s="311"/>
      <c r="E25" s="311"/>
      <c r="F25" s="94"/>
    </row>
    <row r="26" spans="1:6" s="93" customFormat="1" ht="16.5" customHeight="1">
      <c r="B26" s="94"/>
      <c r="C26" s="311"/>
      <c r="D26" s="311"/>
      <c r="E26" s="311"/>
      <c r="F26" s="94"/>
    </row>
    <row r="27" spans="1:6" s="93" customFormat="1" ht="16.5" customHeight="1">
      <c r="B27" s="94"/>
      <c r="C27" s="311"/>
      <c r="D27" s="311"/>
      <c r="E27" s="311"/>
      <c r="F27" s="94"/>
    </row>
    <row r="28" spans="1:6" s="93" customFormat="1" ht="16.5" customHeight="1">
      <c r="B28" s="94"/>
      <c r="C28" s="311"/>
      <c r="D28" s="311"/>
      <c r="E28" s="311"/>
      <c r="F28" s="94"/>
    </row>
    <row r="29" spans="1:6" s="93" customFormat="1" ht="16.5" customHeight="1">
      <c r="B29" s="94"/>
      <c r="C29" s="311"/>
      <c r="D29" s="311"/>
      <c r="E29" s="311"/>
      <c r="F29" s="94"/>
    </row>
    <row r="30" spans="1:6" s="93" customFormat="1" ht="16.5" customHeight="1">
      <c r="B30" s="94"/>
      <c r="C30" s="311"/>
      <c r="D30" s="311"/>
      <c r="E30" s="311"/>
      <c r="F30" s="94"/>
    </row>
    <row r="31" spans="1:6" s="93" customFormat="1" ht="16.5" customHeight="1">
      <c r="B31" s="94"/>
      <c r="C31" s="311"/>
      <c r="D31" s="311"/>
      <c r="E31" s="311"/>
      <c r="F31" s="94"/>
    </row>
    <row r="32" spans="1:6" s="93" customFormat="1" ht="16.5" customHeight="1">
      <c r="B32" s="94"/>
      <c r="C32" s="311"/>
      <c r="D32" s="311"/>
      <c r="E32" s="311"/>
      <c r="F32" s="94"/>
    </row>
    <row r="33" spans="2:6" s="93" customFormat="1" ht="16.5" customHeight="1">
      <c r="B33" s="94"/>
      <c r="C33" s="311"/>
      <c r="D33" s="311"/>
      <c r="E33" s="311"/>
      <c r="F33" s="94"/>
    </row>
    <row r="34" spans="2:6" s="93" customFormat="1" ht="16.5" customHeight="1">
      <c r="B34" s="94"/>
      <c r="C34" s="311"/>
      <c r="D34" s="311"/>
      <c r="E34" s="311"/>
      <c r="F34" s="94"/>
    </row>
    <row r="35" spans="2:6" s="93" customFormat="1" ht="16.5" customHeight="1">
      <c r="B35" s="94"/>
      <c r="C35" s="311"/>
      <c r="D35" s="311"/>
      <c r="E35" s="311"/>
      <c r="F35" s="94"/>
    </row>
    <row r="36" spans="2:6" s="93" customFormat="1" ht="16.5" customHeight="1">
      <c r="B36" s="94"/>
      <c r="C36" s="311"/>
      <c r="D36" s="311"/>
      <c r="E36" s="311"/>
      <c r="F36" s="94"/>
    </row>
    <row r="37" spans="2:6" s="93" customFormat="1" ht="16.5" customHeight="1">
      <c r="B37" s="94"/>
      <c r="C37" s="311"/>
      <c r="D37" s="311"/>
      <c r="E37" s="311"/>
      <c r="F37" s="94"/>
    </row>
    <row r="38" spans="2:6" s="93" customFormat="1" ht="16.5" customHeight="1">
      <c r="B38" s="94"/>
      <c r="C38" s="311"/>
      <c r="D38" s="311"/>
      <c r="E38" s="311"/>
      <c r="F38" s="94"/>
    </row>
    <row r="39" spans="2:6" s="93" customFormat="1" ht="16.5" customHeight="1">
      <c r="B39" s="94"/>
      <c r="C39" s="311"/>
      <c r="D39" s="311"/>
      <c r="E39" s="311"/>
      <c r="F39" s="94"/>
    </row>
    <row r="40" spans="2:6" s="93" customFormat="1" ht="16.5" customHeight="1">
      <c r="B40" s="94"/>
      <c r="C40" s="311"/>
      <c r="D40" s="311"/>
      <c r="E40" s="311"/>
      <c r="F40" s="94"/>
    </row>
    <row r="41" spans="2:6" s="93" customFormat="1" ht="16.5" customHeight="1">
      <c r="B41" s="94"/>
      <c r="C41" s="311"/>
      <c r="D41" s="311"/>
      <c r="E41" s="311"/>
      <c r="F41" s="94"/>
    </row>
    <row r="42" spans="2:6" s="93" customFormat="1" ht="16.5" customHeight="1">
      <c r="B42" s="94"/>
      <c r="C42" s="311"/>
      <c r="D42" s="311"/>
      <c r="E42" s="311"/>
      <c r="F42" s="94"/>
    </row>
    <row r="43" spans="2:6" s="93" customFormat="1" ht="16.5" customHeight="1">
      <c r="B43" s="94"/>
      <c r="C43" s="311"/>
      <c r="D43" s="311"/>
      <c r="E43" s="311"/>
      <c r="F43" s="94"/>
    </row>
    <row r="44" spans="2:6" s="93" customFormat="1" ht="16.5" customHeight="1">
      <c r="B44" s="94"/>
      <c r="C44" s="311"/>
      <c r="D44" s="311"/>
      <c r="E44" s="311"/>
      <c r="F44" s="94"/>
    </row>
    <row r="45" spans="2:6" s="93" customFormat="1" ht="16.5" customHeight="1">
      <c r="B45" s="94"/>
      <c r="C45" s="311"/>
      <c r="D45" s="311"/>
      <c r="E45" s="311"/>
      <c r="F45" s="94"/>
    </row>
    <row r="46" spans="2:6" s="93" customFormat="1" ht="16.5" customHeight="1">
      <c r="B46" s="94"/>
      <c r="C46" s="311"/>
      <c r="D46" s="311"/>
      <c r="E46" s="311"/>
      <c r="F46" s="94"/>
    </row>
    <row r="47" spans="2:6" s="93" customFormat="1" ht="16.5" customHeight="1">
      <c r="B47" s="94"/>
      <c r="C47" s="311"/>
      <c r="D47" s="311"/>
      <c r="E47" s="311"/>
      <c r="F47" s="94"/>
    </row>
    <row r="48" spans="2:6" s="93" customFormat="1" ht="16.5" customHeight="1">
      <c r="B48" s="94"/>
      <c r="C48" s="311"/>
      <c r="D48" s="311"/>
      <c r="E48" s="311"/>
      <c r="F48" s="94"/>
    </row>
    <row r="49" spans="1:6" s="93" customFormat="1" ht="12" customHeight="1"/>
    <row r="50" spans="1:6" s="93" customFormat="1" ht="12" customHeight="1"/>
    <row r="51" spans="1:6" s="93" customFormat="1" ht="12" customHeight="1"/>
    <row r="52" spans="1:6" s="93" customFormat="1" ht="12" customHeight="1"/>
    <row r="53" spans="1:6" s="93" customFormat="1" ht="12" customHeight="1"/>
    <row r="54" spans="1:6" s="93" customFormat="1" ht="12" customHeight="1"/>
    <row r="55" spans="1:6" s="93" customFormat="1" ht="12" customHeight="1"/>
    <row r="56" spans="1:6" s="93" customFormat="1" ht="12" customHeight="1">
      <c r="A56" s="94"/>
    </row>
    <row r="57" spans="1:6" s="93" customFormat="1" ht="12" customHeight="1"/>
    <row r="58" spans="1:6" s="93" customFormat="1" ht="12" customHeight="1">
      <c r="B58" s="94"/>
      <c r="C58" s="311"/>
      <c r="D58" s="311"/>
      <c r="E58" s="311"/>
      <c r="F58" s="94"/>
    </row>
    <row r="59" spans="1:6" s="93" customFormat="1" ht="12" customHeight="1">
      <c r="B59" s="94"/>
      <c r="C59" s="311"/>
      <c r="D59" s="311"/>
      <c r="E59" s="311"/>
      <c r="F59" s="94"/>
    </row>
    <row r="60" spans="1:6" s="93" customFormat="1" ht="12" customHeight="1">
      <c r="B60" s="94"/>
      <c r="C60" s="311"/>
      <c r="D60" s="311"/>
      <c r="E60" s="311"/>
      <c r="F60" s="94"/>
    </row>
    <row r="61" spans="1:6" s="93" customFormat="1" ht="12" customHeight="1">
      <c r="B61" s="94"/>
      <c r="C61" s="311"/>
      <c r="D61" s="311"/>
      <c r="E61" s="311"/>
      <c r="F61" s="94"/>
    </row>
    <row r="62" spans="1:6" s="93" customFormat="1" ht="12" customHeight="1">
      <c r="B62" s="94"/>
      <c r="C62" s="311"/>
      <c r="D62" s="311"/>
      <c r="E62" s="311"/>
      <c r="F62" s="94"/>
    </row>
    <row r="63" spans="1:6" s="93" customFormat="1" ht="12" customHeight="1">
      <c r="B63" s="94"/>
      <c r="C63" s="311"/>
      <c r="D63" s="311"/>
      <c r="E63" s="311"/>
      <c r="F63" s="94"/>
    </row>
    <row r="64" spans="1:6" s="93" customFormat="1" ht="12" customHeight="1">
      <c r="B64" s="94"/>
      <c r="C64" s="311"/>
      <c r="D64" s="311"/>
      <c r="E64" s="311"/>
      <c r="F64" s="94"/>
    </row>
    <row r="65" spans="2:6" s="93" customFormat="1" ht="12" customHeight="1">
      <c r="B65" s="94"/>
      <c r="C65" s="311"/>
      <c r="D65" s="311"/>
      <c r="E65" s="311"/>
      <c r="F65" s="94"/>
    </row>
    <row r="66" spans="2:6" s="93" customFormat="1" ht="12" customHeight="1">
      <c r="B66" s="94"/>
      <c r="C66" s="311"/>
      <c r="D66" s="311"/>
      <c r="E66" s="311"/>
      <c r="F66" s="94"/>
    </row>
    <row r="67" spans="2:6" s="93" customFormat="1" ht="12" customHeight="1">
      <c r="B67" s="94"/>
      <c r="C67" s="311"/>
      <c r="D67" s="311"/>
      <c r="E67" s="311"/>
      <c r="F67" s="94"/>
    </row>
    <row r="68" spans="2:6" s="93" customFormat="1" ht="12" customHeight="1">
      <c r="B68" s="94"/>
      <c r="C68" s="311"/>
      <c r="D68" s="311"/>
      <c r="E68" s="311"/>
      <c r="F68" s="94"/>
    </row>
    <row r="69" spans="2:6" s="93" customFormat="1" ht="12" customHeight="1">
      <c r="B69" s="94"/>
      <c r="C69" s="311"/>
      <c r="D69" s="311"/>
      <c r="E69" s="311"/>
      <c r="F69" s="94"/>
    </row>
    <row r="70" spans="2:6" s="93" customFormat="1" ht="12" customHeight="1">
      <c r="B70" s="94"/>
      <c r="C70" s="311"/>
      <c r="D70" s="311"/>
      <c r="E70" s="311"/>
      <c r="F70" s="94"/>
    </row>
    <row r="71" spans="2:6" s="93" customFormat="1" ht="12" customHeight="1">
      <c r="B71" s="94"/>
      <c r="C71" s="311"/>
      <c r="D71" s="311"/>
      <c r="E71" s="311"/>
      <c r="F71" s="94"/>
    </row>
    <row r="72" spans="2:6" s="93" customFormat="1" ht="12" customHeight="1">
      <c r="B72" s="94"/>
      <c r="C72" s="311"/>
      <c r="D72" s="311"/>
      <c r="E72" s="311"/>
      <c r="F72" s="94"/>
    </row>
    <row r="73" spans="2:6" s="93" customFormat="1" ht="12" customHeight="1">
      <c r="B73" s="94"/>
      <c r="C73" s="311"/>
      <c r="D73" s="311"/>
      <c r="E73" s="311"/>
      <c r="F73" s="94"/>
    </row>
    <row r="74" spans="2:6" s="93" customFormat="1" ht="12" customHeight="1">
      <c r="B74" s="94"/>
      <c r="C74" s="311"/>
      <c r="D74" s="311"/>
      <c r="E74" s="311"/>
      <c r="F74" s="94"/>
    </row>
    <row r="75" spans="2:6" s="93" customFormat="1" ht="12" customHeight="1">
      <c r="B75" s="94"/>
      <c r="C75" s="311"/>
      <c r="D75" s="311"/>
      <c r="E75" s="311"/>
      <c r="F75" s="94"/>
    </row>
    <row r="76" spans="2:6" s="93" customFormat="1" ht="12" customHeight="1">
      <c r="B76" s="94"/>
      <c r="C76" s="311"/>
      <c r="D76" s="311"/>
      <c r="E76" s="311"/>
      <c r="F76" s="94"/>
    </row>
    <row r="77" spans="2:6" s="93" customFormat="1" ht="12" customHeight="1">
      <c r="B77" s="94"/>
      <c r="C77" s="311"/>
      <c r="D77" s="311"/>
      <c r="E77" s="311"/>
      <c r="F77" s="94"/>
    </row>
    <row r="78" spans="2:6" s="93" customFormat="1" ht="12" customHeight="1">
      <c r="B78" s="94"/>
      <c r="C78" s="311"/>
      <c r="D78" s="311"/>
      <c r="E78" s="311"/>
      <c r="F78" s="94"/>
    </row>
    <row r="79" spans="2:6" s="93" customFormat="1" ht="12" customHeight="1">
      <c r="B79" s="94"/>
      <c r="C79" s="311"/>
      <c r="D79" s="311"/>
      <c r="E79" s="311"/>
      <c r="F79" s="94"/>
    </row>
    <row r="80" spans="2:6" s="93" customFormat="1" ht="12" customHeight="1">
      <c r="B80" s="94"/>
      <c r="C80" s="311"/>
      <c r="D80" s="311"/>
      <c r="E80" s="311"/>
      <c r="F80" s="94"/>
    </row>
    <row r="81" spans="2:6" s="93" customFormat="1" ht="12" customHeight="1">
      <c r="B81" s="94"/>
      <c r="C81" s="311"/>
      <c r="D81" s="311"/>
      <c r="E81" s="311"/>
      <c r="F81" s="94"/>
    </row>
    <row r="82" spans="2:6" s="93" customFormat="1" ht="12" customHeight="1">
      <c r="B82" s="94"/>
      <c r="C82" s="311"/>
      <c r="D82" s="311"/>
      <c r="E82" s="311"/>
      <c r="F82" s="94"/>
    </row>
    <row r="83" spans="2:6" s="93" customFormat="1" ht="12" customHeight="1">
      <c r="B83" s="94"/>
      <c r="C83" s="311"/>
      <c r="D83" s="311"/>
      <c r="E83" s="311"/>
      <c r="F83" s="94"/>
    </row>
    <row r="84" spans="2:6" s="93" customFormat="1" ht="12" customHeight="1">
      <c r="B84" s="94"/>
      <c r="C84" s="311"/>
      <c r="D84" s="311"/>
      <c r="E84" s="311"/>
      <c r="F84" s="94"/>
    </row>
    <row r="85" spans="2:6" s="93" customFormat="1" ht="12" customHeight="1">
      <c r="F85" s="94"/>
    </row>
    <row r="86" spans="2:6" s="93" customFormat="1" ht="12" customHeight="1">
      <c r="F86" s="94"/>
    </row>
    <row r="87" spans="2:6" s="93" customFormat="1" ht="12" customHeight="1">
      <c r="F87" s="94"/>
    </row>
    <row r="88" spans="2:6" s="93" customFormat="1" ht="12" customHeight="1"/>
    <row r="89" spans="2:6" s="93" customFormat="1" ht="12" customHeight="1">
      <c r="C89" s="312"/>
    </row>
    <row r="90" spans="2:6" s="93" customFormat="1" ht="12" customHeight="1"/>
    <row r="91" spans="2:6" s="93" customFormat="1" ht="12" customHeight="1"/>
    <row r="92" spans="2:6" s="93" customFormat="1" ht="12" customHeight="1"/>
    <row r="93" spans="2:6" s="93" customFormat="1" ht="12" customHeight="1">
      <c r="B93" s="94"/>
    </row>
    <row r="94" spans="2:6" s="93" customFormat="1" ht="12" customHeight="1">
      <c r="B94" s="94"/>
    </row>
    <row r="95" spans="2:6" s="93" customFormat="1" ht="12" customHeight="1"/>
    <row r="96" spans="2:6" s="93" customFormat="1" ht="12" customHeight="1"/>
    <row r="97" spans="1:13" ht="12" customHeight="1"/>
    <row r="98" spans="1:13" ht="12" customHeight="1"/>
    <row r="100" spans="1:13" s="88" customFormat="1" ht="26.25" customHeight="1">
      <c r="A100" s="498" t="s">
        <v>108</v>
      </c>
      <c r="B100" s="498"/>
      <c r="C100" s="499"/>
      <c r="D100" s="87"/>
      <c r="E100" s="500" t="str">
        <f>HYPERLINK("#目录!A64","跳转回到目录页")</f>
        <v>跳转回到目录页</v>
      </c>
      <c r="F100" s="501"/>
    </row>
    <row r="101" spans="1:13" s="88" customFormat="1" ht="26.25" customHeight="1">
      <c r="A101" s="502" t="s">
        <v>1216</v>
      </c>
      <c r="B101" s="502"/>
      <c r="C101" s="503" t="s">
        <v>109</v>
      </c>
      <c r="D101" s="503"/>
      <c r="E101" s="503"/>
      <c r="F101" s="503"/>
      <c r="G101" s="503"/>
      <c r="H101" s="503"/>
      <c r="I101" s="503"/>
      <c r="J101" s="503"/>
      <c r="K101" s="503"/>
      <c r="L101" s="503"/>
      <c r="M101" s="503"/>
    </row>
    <row r="102" spans="1:13" s="88" customFormat="1" ht="16.5" customHeight="1">
      <c r="A102" s="496" t="s">
        <v>1217</v>
      </c>
      <c r="B102" s="496"/>
      <c r="C102" s="493" t="s">
        <v>2010</v>
      </c>
      <c r="D102" s="493"/>
      <c r="E102" s="493"/>
      <c r="F102" s="493"/>
      <c r="G102" s="493"/>
      <c r="H102" s="493"/>
      <c r="I102" s="493"/>
      <c r="J102" s="493"/>
      <c r="K102" s="493"/>
      <c r="L102" s="493"/>
      <c r="M102" s="493"/>
    </row>
    <row r="103" spans="1:13" s="88" customFormat="1" ht="16.5" customHeight="1">
      <c r="A103" s="496" t="s">
        <v>5786</v>
      </c>
      <c r="B103" s="496"/>
      <c r="C103" s="497" t="s">
        <v>2010</v>
      </c>
      <c r="D103" s="497"/>
      <c r="E103" s="497"/>
      <c r="F103" s="497"/>
      <c r="G103" s="497"/>
      <c r="H103" s="497"/>
      <c r="I103" s="497"/>
      <c r="J103" s="497"/>
      <c r="K103" s="497"/>
      <c r="L103" s="497"/>
      <c r="M103" s="497"/>
    </row>
    <row r="104" spans="1:13" s="88" customFormat="1" ht="16.5" customHeight="1">
      <c r="A104" s="496" t="s">
        <v>1220</v>
      </c>
      <c r="B104" s="496"/>
      <c r="C104" s="493" t="s">
        <v>1994</v>
      </c>
      <c r="D104" s="493"/>
      <c r="E104" s="493"/>
      <c r="F104" s="493"/>
      <c r="G104" s="493"/>
      <c r="H104" s="493"/>
      <c r="I104" s="493"/>
      <c r="J104" s="493"/>
      <c r="K104" s="493"/>
      <c r="L104" s="493"/>
      <c r="M104" s="493"/>
    </row>
    <row r="105" spans="1:13" s="88" customFormat="1" ht="16.5" customHeight="1">
      <c r="A105" s="496" t="s">
        <v>5785</v>
      </c>
      <c r="B105" s="496"/>
      <c r="C105" s="493" t="s">
        <v>1995</v>
      </c>
      <c r="D105" s="493"/>
      <c r="E105" s="493"/>
      <c r="F105" s="493"/>
      <c r="G105" s="493"/>
      <c r="H105" s="493"/>
      <c r="I105" s="493"/>
      <c r="J105" s="493"/>
      <c r="K105" s="493"/>
      <c r="L105" s="493"/>
      <c r="M105" s="493"/>
    </row>
    <row r="106" spans="1:13" s="88" customFormat="1" ht="16.5" customHeight="1">
      <c r="A106" s="89" t="s">
        <v>1223</v>
      </c>
      <c r="B106" s="92" t="s">
        <v>1996</v>
      </c>
      <c r="C106" s="493" t="s">
        <v>1997</v>
      </c>
      <c r="D106" s="493"/>
      <c r="E106" s="493"/>
      <c r="F106" s="493"/>
      <c r="G106" s="493"/>
      <c r="H106" s="493"/>
      <c r="I106" s="493"/>
      <c r="J106" s="493"/>
      <c r="K106" s="493"/>
      <c r="L106" s="493"/>
      <c r="M106" s="493"/>
    </row>
    <row r="107" spans="1:13" s="88" customFormat="1" ht="16.5" customHeight="1">
      <c r="A107" s="89"/>
      <c r="B107" s="92" t="s">
        <v>1998</v>
      </c>
      <c r="C107" s="493" t="s">
        <v>1999</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493" t="s">
        <v>2011</v>
      </c>
      <c r="C110" s="493"/>
      <c r="D110" s="493"/>
      <c r="E110" s="493"/>
      <c r="F110" s="493"/>
      <c r="G110" s="493"/>
      <c r="H110" s="493"/>
      <c r="I110" s="493"/>
      <c r="J110" s="493"/>
      <c r="K110" s="493"/>
      <c r="L110" s="493"/>
      <c r="M110" s="493"/>
    </row>
    <row r="111" spans="1:13" ht="21" customHeight="1">
      <c r="B111" s="494" t="s">
        <v>1231</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s="93" customFormat="1" ht="16.5" customHeight="1">
      <c r="B115" s="518" t="s">
        <v>2000</v>
      </c>
      <c r="C115" s="518"/>
      <c r="D115" s="94"/>
      <c r="E115" s="94"/>
      <c r="F115" s="9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pans="1:48" s="93" customFormat="1" ht="16.5" customHeight="1">
      <c r="B116" s="95" t="s">
        <v>1996</v>
      </c>
      <c r="C116" s="97" t="s">
        <v>1998</v>
      </c>
      <c r="E116" s="94"/>
      <c r="F116" s="10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spans="1:48" s="93" customFormat="1" ht="16.5" customHeight="1">
      <c r="B117" s="99">
        <v>2</v>
      </c>
      <c r="C117" s="101">
        <v>3</v>
      </c>
      <c r="F117" s="158"/>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row>
    <row r="118" spans="1:48" s="93" customFormat="1" ht="16.5" customHeight="1">
      <c r="B118" s="99">
        <v>5</v>
      </c>
      <c r="C118" s="101">
        <v>2</v>
      </c>
      <c r="F118" s="158"/>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pans="1:48" s="93" customFormat="1" ht="16.5" customHeight="1">
      <c r="B119" s="99">
        <v>1</v>
      </c>
      <c r="C119" s="101">
        <v>3</v>
      </c>
      <c r="F119" s="158"/>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spans="1:48" s="93" customFormat="1" ht="16.5" customHeight="1">
      <c r="B120" s="99">
        <v>0</v>
      </c>
      <c r="C120" s="101">
        <v>2</v>
      </c>
      <c r="F120" s="158"/>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1" spans="1:48" ht="16.5" customHeight="1">
      <c r="B121" s="99">
        <v>-4</v>
      </c>
      <c r="C121" s="101">
        <v>1</v>
      </c>
      <c r="D121" s="104" t="s">
        <v>1238</v>
      </c>
      <c r="E121" s="93"/>
      <c r="F121" s="158"/>
    </row>
    <row r="122" spans="1:48" ht="16.5" customHeight="1">
      <c r="B122" s="151" t="s">
        <v>2007</v>
      </c>
      <c r="C122" s="107">
        <f>SUMX2MY2(B117:B121,C117:C121)</f>
        <v>19</v>
      </c>
      <c r="D122" s="108" t="s">
        <v>2012</v>
      </c>
      <c r="E122" s="93"/>
      <c r="F122" s="158"/>
    </row>
    <row r="123" spans="1:48" ht="16.5" customHeight="1">
      <c r="B123" s="93"/>
      <c r="C123" s="93"/>
      <c r="E123" s="93"/>
      <c r="F123" s="93"/>
    </row>
    <row r="124" spans="1:48" ht="16.5" customHeight="1"/>
    <row r="125" spans="1:48" ht="16.5" customHeight="1"/>
    <row r="126" spans="1:48" ht="16.5" customHeight="1"/>
    <row r="127" spans="1:48" ht="16.5" customHeight="1">
      <c r="B127" s="313"/>
    </row>
    <row r="128" spans="1:48" ht="16.5" customHeight="1"/>
    <row r="200" spans="1:13" s="88" customFormat="1" ht="26.25" customHeight="1">
      <c r="A200" s="498" t="s">
        <v>110</v>
      </c>
      <c r="B200" s="498"/>
      <c r="C200" s="499"/>
      <c r="D200" s="87"/>
      <c r="E200" s="500" t="str">
        <f>HYPERLINK("#目录!A65","跳转回到目录页")</f>
        <v>跳转回到目录页</v>
      </c>
      <c r="F200" s="501"/>
    </row>
    <row r="201" spans="1:13" s="88" customFormat="1" ht="26.25" customHeight="1">
      <c r="A201" s="502" t="s">
        <v>1216</v>
      </c>
      <c r="B201" s="502"/>
      <c r="C201" s="503" t="s">
        <v>1148</v>
      </c>
      <c r="D201" s="503"/>
      <c r="E201" s="503"/>
      <c r="F201" s="503"/>
      <c r="G201" s="503"/>
      <c r="H201" s="503"/>
      <c r="I201" s="503"/>
      <c r="J201" s="503"/>
      <c r="K201" s="503"/>
      <c r="L201" s="503"/>
      <c r="M201" s="503"/>
    </row>
    <row r="202" spans="1:13" s="88" customFormat="1" ht="16.5" customHeight="1">
      <c r="A202" s="496" t="s">
        <v>1217</v>
      </c>
      <c r="B202" s="496"/>
      <c r="C202" s="493" t="s">
        <v>2013</v>
      </c>
      <c r="D202" s="493"/>
      <c r="E202" s="493"/>
      <c r="F202" s="493"/>
      <c r="G202" s="493"/>
      <c r="H202" s="493"/>
      <c r="I202" s="493"/>
      <c r="J202" s="493"/>
      <c r="K202" s="493"/>
      <c r="L202" s="493"/>
      <c r="M202" s="493"/>
    </row>
    <row r="203" spans="1:13" s="88" customFormat="1" ht="16.5" customHeight="1">
      <c r="A203" s="496" t="s">
        <v>5786</v>
      </c>
      <c r="B203" s="496"/>
      <c r="C203" s="497" t="s">
        <v>2014</v>
      </c>
      <c r="D203" s="497"/>
      <c r="E203" s="497"/>
      <c r="F203" s="497"/>
      <c r="G203" s="497"/>
      <c r="H203" s="497"/>
      <c r="I203" s="497"/>
      <c r="J203" s="497"/>
      <c r="K203" s="497"/>
      <c r="L203" s="497"/>
      <c r="M203" s="497"/>
    </row>
    <row r="204" spans="1:13" s="88" customFormat="1" ht="16.5" customHeight="1">
      <c r="A204" s="496" t="s">
        <v>1220</v>
      </c>
      <c r="B204" s="496"/>
      <c r="C204" s="493" t="s">
        <v>1994</v>
      </c>
      <c r="D204" s="493"/>
      <c r="E204" s="493"/>
      <c r="F204" s="493"/>
      <c r="G204" s="493"/>
      <c r="H204" s="493"/>
      <c r="I204" s="493"/>
      <c r="J204" s="493"/>
      <c r="K204" s="493"/>
      <c r="L204" s="493"/>
      <c r="M204" s="493"/>
    </row>
    <row r="205" spans="1:13" s="88" customFormat="1" ht="16.5" customHeight="1">
      <c r="A205" s="496" t="s">
        <v>5785</v>
      </c>
      <c r="B205" s="496"/>
      <c r="C205" s="493" t="s">
        <v>1995</v>
      </c>
      <c r="D205" s="493"/>
      <c r="E205" s="493"/>
      <c r="F205" s="493"/>
      <c r="G205" s="493"/>
      <c r="H205" s="493"/>
      <c r="I205" s="493"/>
      <c r="J205" s="493"/>
      <c r="K205" s="493"/>
      <c r="L205" s="493"/>
      <c r="M205" s="493"/>
    </row>
    <row r="206" spans="1:13" s="88" customFormat="1" ht="16.5" customHeight="1">
      <c r="A206" s="89" t="s">
        <v>1223</v>
      </c>
      <c r="B206" s="92" t="s">
        <v>1996</v>
      </c>
      <c r="C206" s="493" t="s">
        <v>1997</v>
      </c>
      <c r="D206" s="493"/>
      <c r="E206" s="493"/>
      <c r="F206" s="493"/>
      <c r="G206" s="493"/>
      <c r="H206" s="493"/>
      <c r="I206" s="493"/>
      <c r="J206" s="493"/>
      <c r="K206" s="493"/>
      <c r="L206" s="493"/>
      <c r="M206" s="493"/>
    </row>
    <row r="207" spans="1:13" s="88" customFormat="1" ht="16.5" customHeight="1">
      <c r="A207" s="89"/>
      <c r="B207" s="92" t="s">
        <v>1998</v>
      </c>
      <c r="C207" s="493" t="s">
        <v>1999</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48" s="88" customFormat="1" ht="16.5" customHeight="1">
      <c r="A209" s="89" t="s">
        <v>1228</v>
      </c>
      <c r="B209" s="493"/>
      <c r="C209" s="493"/>
      <c r="D209" s="493"/>
      <c r="E209" s="493"/>
      <c r="F209" s="493"/>
      <c r="G209" s="493"/>
      <c r="H209" s="493"/>
      <c r="I209" s="493"/>
      <c r="J209" s="493"/>
      <c r="K209" s="493"/>
      <c r="L209" s="493"/>
      <c r="M209" s="493"/>
    </row>
    <row r="210" spans="1:48" ht="16.5" customHeight="1">
      <c r="A210" s="89" t="s">
        <v>1229</v>
      </c>
      <c r="B210" s="493" t="s">
        <v>2011</v>
      </c>
      <c r="C210" s="493"/>
      <c r="D210" s="493"/>
      <c r="E210" s="493"/>
      <c r="F210" s="493"/>
      <c r="G210" s="493"/>
      <c r="H210" s="493"/>
      <c r="I210" s="493"/>
      <c r="J210" s="493"/>
      <c r="K210" s="493"/>
      <c r="L210" s="493"/>
      <c r="M210" s="493"/>
    </row>
    <row r="211" spans="1:48" ht="21" customHeight="1">
      <c r="B211" s="494" t="s">
        <v>1231</v>
      </c>
      <c r="C211" s="494"/>
      <c r="D211" s="494"/>
      <c r="E211" s="494"/>
      <c r="F211" s="494"/>
      <c r="G211" s="494"/>
      <c r="H211" s="494"/>
      <c r="I211" s="494"/>
      <c r="J211" s="494"/>
      <c r="K211" s="494"/>
      <c r="L211" s="495"/>
    </row>
    <row r="212" spans="1:48" s="93" customFormat="1" ht="16.5" customHeight="1"/>
    <row r="213" spans="1:48" s="93" customFormat="1" ht="16.5" customHeight="1">
      <c r="A213" s="94" t="s">
        <v>1232</v>
      </c>
      <c r="B213" s="93" t="s">
        <v>1773</v>
      </c>
    </row>
    <row r="214" spans="1:48" s="93" customFormat="1" ht="16.5" customHeight="1">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spans="1:48" s="93" customFormat="1" ht="16.5" customHeight="1">
      <c r="B215" s="518" t="s">
        <v>2000</v>
      </c>
      <c r="C215" s="518"/>
      <c r="D215" s="9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row>
    <row r="216" spans="1:48" s="93" customFormat="1" ht="16.5" customHeight="1">
      <c r="B216" s="95" t="s">
        <v>1996</v>
      </c>
      <c r="C216" s="97" t="s">
        <v>1998</v>
      </c>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row>
    <row r="217" spans="1:48" s="93" customFormat="1" ht="16.5" customHeight="1">
      <c r="B217" s="99">
        <v>2</v>
      </c>
      <c r="C217" s="101">
        <v>3</v>
      </c>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row>
    <row r="218" spans="1:48" s="93" customFormat="1" ht="16.5" customHeight="1">
      <c r="B218" s="99">
        <v>5</v>
      </c>
      <c r="C218" s="101">
        <v>2</v>
      </c>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row>
    <row r="219" spans="1:48" s="93" customFormat="1" ht="16.5" customHeight="1">
      <c r="B219" s="99">
        <v>1</v>
      </c>
      <c r="C219" s="101">
        <v>3</v>
      </c>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row>
    <row r="220" spans="1:48" s="93" customFormat="1" ht="16.5" customHeight="1">
      <c r="B220" s="99">
        <v>0</v>
      </c>
      <c r="C220" s="101">
        <v>2</v>
      </c>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row>
    <row r="221" spans="1:48" ht="16.5" customHeight="1">
      <c r="B221" s="99">
        <v>-4</v>
      </c>
      <c r="C221" s="101">
        <v>1</v>
      </c>
      <c r="D221" s="104" t="s">
        <v>1238</v>
      </c>
    </row>
    <row r="222" spans="1:48" ht="16.5" customHeight="1">
      <c r="B222" s="151" t="s">
        <v>2007</v>
      </c>
      <c r="C222" s="107">
        <f>SUMXMY2(B217:B221,C217:C221)</f>
        <v>43</v>
      </c>
      <c r="D222" s="108" t="s">
        <v>2015</v>
      </c>
    </row>
    <row r="223" spans="1:48" ht="16.5" customHeight="1">
      <c r="B223" s="93"/>
      <c r="C223" s="93"/>
    </row>
    <row r="224" spans="1:48" ht="16.5" customHeight="1"/>
    <row r="225" s="4" customFormat="1" ht="16.5" customHeight="1"/>
  </sheetData>
  <mergeCells count="56">
    <mergeCell ref="A1:C1"/>
    <mergeCell ref="E1:F1"/>
    <mergeCell ref="A2:B2"/>
    <mergeCell ref="C2:M2"/>
    <mergeCell ref="A3:B3"/>
    <mergeCell ref="C3:M3"/>
    <mergeCell ref="B15:C15"/>
    <mergeCell ref="A4:B4"/>
    <mergeCell ref="C4:M4"/>
    <mergeCell ref="A5:B5"/>
    <mergeCell ref="C5:M5"/>
    <mergeCell ref="A6:B6"/>
    <mergeCell ref="C6:M6"/>
    <mergeCell ref="C7:M7"/>
    <mergeCell ref="C8:M8"/>
    <mergeCell ref="B9:M9"/>
    <mergeCell ref="B10:M10"/>
    <mergeCell ref="B11:L11"/>
    <mergeCell ref="A100:C100"/>
    <mergeCell ref="E100:F100"/>
    <mergeCell ref="A101:B101"/>
    <mergeCell ref="C101:M101"/>
    <mergeCell ref="A102:B102"/>
    <mergeCell ref="C102:M102"/>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5:C115"/>
    <mergeCell ref="A200:C200"/>
    <mergeCell ref="E200:F200"/>
    <mergeCell ref="A201:B201"/>
    <mergeCell ref="C201:M201"/>
    <mergeCell ref="A203:B203"/>
    <mergeCell ref="C203:M203"/>
    <mergeCell ref="A204:B204"/>
    <mergeCell ref="C204:M204"/>
    <mergeCell ref="A205:B205"/>
    <mergeCell ref="C205:M205"/>
    <mergeCell ref="B215:C215"/>
    <mergeCell ref="C206:M206"/>
    <mergeCell ref="C207:M207"/>
    <mergeCell ref="C208:M208"/>
    <mergeCell ref="B209:M209"/>
    <mergeCell ref="B210:M210"/>
    <mergeCell ref="B211:L211"/>
  </mergeCells>
  <phoneticPr fontId="2" type="noConversion"/>
  <pageMargins left="0.75" right="0.75" top="1" bottom="1" header="0.5" footer="0.5"/>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M72"/>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114</v>
      </c>
      <c r="B1" s="498"/>
      <c r="C1" s="499"/>
      <c r="D1" s="87"/>
      <c r="E1" s="500" t="str">
        <f>HYPERLINK("#目录!A67","跳转回到目录页")</f>
        <v>跳转回到目录页</v>
      </c>
      <c r="F1" s="501"/>
    </row>
    <row r="2" spans="1:13" s="88" customFormat="1" ht="26.25" customHeight="1">
      <c r="A2" s="502" t="s">
        <v>1216</v>
      </c>
      <c r="B2" s="502"/>
      <c r="C2" s="503" t="s">
        <v>112</v>
      </c>
      <c r="D2" s="503"/>
      <c r="E2" s="503"/>
      <c r="F2" s="503"/>
      <c r="G2" s="503"/>
      <c r="H2" s="503"/>
      <c r="I2" s="503"/>
      <c r="J2" s="503"/>
      <c r="K2" s="503"/>
      <c r="L2" s="503"/>
      <c r="M2" s="503"/>
    </row>
    <row r="3" spans="1:13" s="88" customFormat="1" ht="16.5" customHeight="1">
      <c r="A3" s="496" t="s">
        <v>1217</v>
      </c>
      <c r="B3" s="496"/>
      <c r="C3" s="493" t="s">
        <v>112</v>
      </c>
      <c r="D3" s="493"/>
      <c r="E3" s="493"/>
      <c r="F3" s="493"/>
      <c r="G3" s="493"/>
      <c r="H3" s="493"/>
      <c r="I3" s="493"/>
      <c r="J3" s="493"/>
      <c r="K3" s="493"/>
      <c r="L3" s="493"/>
      <c r="M3" s="493"/>
    </row>
    <row r="4" spans="1:13" s="88" customFormat="1" ht="16.5" customHeight="1">
      <c r="A4" s="496" t="s">
        <v>5786</v>
      </c>
      <c r="B4" s="496"/>
      <c r="C4" s="497" t="s">
        <v>2016</v>
      </c>
      <c r="D4" s="497"/>
      <c r="E4" s="497"/>
      <c r="F4" s="497"/>
      <c r="G4" s="497"/>
      <c r="H4" s="497"/>
      <c r="I4" s="497"/>
      <c r="J4" s="497"/>
      <c r="K4" s="497"/>
      <c r="L4" s="497"/>
      <c r="M4" s="497"/>
    </row>
    <row r="5" spans="1:13" s="88" customFormat="1" ht="16.5" customHeight="1">
      <c r="A5" s="496" t="s">
        <v>1220</v>
      </c>
      <c r="B5" s="496"/>
      <c r="C5" s="493" t="s">
        <v>2017</v>
      </c>
      <c r="D5" s="493"/>
      <c r="E5" s="493"/>
      <c r="F5" s="493"/>
      <c r="G5" s="493"/>
      <c r="H5" s="493"/>
      <c r="I5" s="493"/>
      <c r="J5" s="493"/>
      <c r="K5" s="493"/>
      <c r="L5" s="493"/>
      <c r="M5" s="493"/>
    </row>
    <row r="6" spans="1:13" s="88" customFormat="1" ht="16.5" customHeight="1">
      <c r="A6" s="496" t="s">
        <v>5785</v>
      </c>
      <c r="B6" s="496"/>
      <c r="C6" s="493" t="s">
        <v>2018</v>
      </c>
      <c r="D6" s="493"/>
      <c r="E6" s="493"/>
      <c r="F6" s="493"/>
      <c r="G6" s="493"/>
      <c r="H6" s="493"/>
      <c r="I6" s="493"/>
      <c r="J6" s="493"/>
      <c r="K6" s="493"/>
      <c r="L6" s="493"/>
      <c r="M6" s="493"/>
    </row>
    <row r="7" spans="1:13" s="88" customFormat="1" ht="24.75" customHeight="1">
      <c r="A7" s="89" t="s">
        <v>1223</v>
      </c>
      <c r="B7" s="92" t="s">
        <v>2019</v>
      </c>
      <c r="C7" s="493" t="s">
        <v>2020</v>
      </c>
      <c r="D7" s="493"/>
      <c r="E7" s="493"/>
      <c r="F7" s="493"/>
      <c r="G7" s="493"/>
      <c r="H7" s="493"/>
      <c r="I7" s="493"/>
      <c r="J7" s="493"/>
      <c r="K7" s="493"/>
      <c r="L7" s="493"/>
      <c r="M7" s="493"/>
    </row>
    <row r="8" spans="1:13" s="88" customFormat="1" ht="16.5" customHeight="1">
      <c r="A8" s="89"/>
      <c r="B8" s="90" t="s">
        <v>2021</v>
      </c>
      <c r="C8" s="493" t="s">
        <v>2022</v>
      </c>
      <c r="D8" s="493"/>
      <c r="E8" s="493"/>
      <c r="F8" s="493"/>
      <c r="G8" s="493"/>
      <c r="H8" s="493"/>
      <c r="I8" s="493"/>
      <c r="J8" s="493"/>
      <c r="K8" s="493"/>
      <c r="L8" s="493"/>
      <c r="M8" s="493"/>
    </row>
    <row r="9" spans="1:13" s="88" customFormat="1" ht="126.75" customHeight="1">
      <c r="A9" s="89" t="s">
        <v>1228</v>
      </c>
      <c r="B9" s="493" t="s">
        <v>5949</v>
      </c>
      <c r="C9" s="493"/>
      <c r="D9" s="493"/>
      <c r="E9" s="493"/>
      <c r="F9" s="493"/>
      <c r="G9" s="493"/>
      <c r="H9" s="493"/>
      <c r="I9" s="493"/>
      <c r="J9" s="493"/>
      <c r="K9" s="493"/>
      <c r="L9" s="493"/>
      <c r="M9" s="493"/>
    </row>
    <row r="10" spans="1:13" ht="24.75" customHeight="1">
      <c r="A10" s="89" t="s">
        <v>1229</v>
      </c>
      <c r="B10" s="493" t="s">
        <v>2023</v>
      </c>
      <c r="C10" s="493"/>
      <c r="D10" s="493"/>
      <c r="E10" s="493"/>
      <c r="F10" s="493"/>
      <c r="G10" s="493"/>
      <c r="H10" s="493"/>
      <c r="I10" s="493"/>
      <c r="J10" s="493"/>
      <c r="K10" s="493"/>
      <c r="L10" s="493"/>
      <c r="M10" s="493"/>
    </row>
    <row r="11" spans="1:13" ht="21" customHeight="1">
      <c r="B11" s="494" t="s">
        <v>1231</v>
      </c>
      <c r="C11" s="494"/>
      <c r="D11" s="494"/>
      <c r="E11" s="494"/>
      <c r="F11" s="494"/>
      <c r="G11" s="494"/>
      <c r="H11" s="494"/>
      <c r="I11" s="494"/>
      <c r="J11" s="494"/>
      <c r="K11" s="494"/>
      <c r="L11" s="495"/>
    </row>
    <row r="12" spans="1:13" s="93" customFormat="1" ht="16.5" customHeight="1"/>
    <row r="13" spans="1:13" s="93" customFormat="1" ht="30" customHeight="1">
      <c r="A13" s="94"/>
      <c r="B13" s="306" t="s">
        <v>2024</v>
      </c>
    </row>
    <row r="14" spans="1:13" s="93" customFormat="1" ht="16.5" customHeight="1">
      <c r="B14" s="602" t="s">
        <v>2025</v>
      </c>
      <c r="C14" s="603"/>
      <c r="D14" s="603" t="s">
        <v>2026</v>
      </c>
      <c r="E14" s="603"/>
      <c r="F14" s="603" t="s">
        <v>2027</v>
      </c>
      <c r="G14" s="605"/>
    </row>
    <row r="15" spans="1:13" s="93" customFormat="1" ht="16.5" customHeight="1">
      <c r="B15" s="594" t="s">
        <v>2028</v>
      </c>
      <c r="C15" s="595" t="s">
        <v>2029</v>
      </c>
      <c r="D15" s="604"/>
      <c r="E15" s="604"/>
      <c r="F15" s="604"/>
      <c r="G15" s="606"/>
    </row>
    <row r="16" spans="1:13" s="93" customFormat="1" ht="16.5" customHeight="1">
      <c r="B16" s="594"/>
      <c r="C16" s="595"/>
      <c r="D16" s="604"/>
      <c r="E16" s="604"/>
      <c r="F16" s="604"/>
      <c r="G16" s="606"/>
    </row>
    <row r="17" spans="1:7" s="93" customFormat="1" ht="16.5" customHeight="1">
      <c r="B17" s="594"/>
      <c r="C17" s="595"/>
      <c r="D17" s="604"/>
      <c r="E17" s="604"/>
      <c r="F17" s="604"/>
      <c r="G17" s="606"/>
    </row>
    <row r="18" spans="1:7" s="93" customFormat="1" ht="16.5" customHeight="1">
      <c r="B18" s="594"/>
      <c r="C18" s="595"/>
      <c r="D18" s="604"/>
      <c r="E18" s="604"/>
      <c r="F18" s="604"/>
      <c r="G18" s="606"/>
    </row>
    <row r="19" spans="1:7" s="93" customFormat="1" ht="16.5" customHeight="1">
      <c r="B19" s="111">
        <v>1</v>
      </c>
      <c r="C19" s="100">
        <v>101</v>
      </c>
      <c r="D19" s="598" t="s">
        <v>2030</v>
      </c>
      <c r="E19" s="598"/>
      <c r="F19" s="567" t="s">
        <v>397</v>
      </c>
      <c r="G19" s="599"/>
    </row>
    <row r="20" spans="1:7" s="93" customFormat="1" ht="16.5" customHeight="1">
      <c r="B20" s="111">
        <v>2</v>
      </c>
      <c r="C20" s="100">
        <v>102</v>
      </c>
      <c r="D20" s="598" t="s">
        <v>392</v>
      </c>
      <c r="E20" s="598"/>
      <c r="F20" s="567" t="s">
        <v>391</v>
      </c>
      <c r="G20" s="599"/>
    </row>
    <row r="21" spans="1:7" s="93" customFormat="1" ht="16.5" customHeight="1">
      <c r="B21" s="111">
        <v>3</v>
      </c>
      <c r="C21" s="100">
        <v>103</v>
      </c>
      <c r="D21" s="598" t="s">
        <v>390</v>
      </c>
      <c r="E21" s="598"/>
      <c r="F21" s="567" t="s">
        <v>393</v>
      </c>
      <c r="G21" s="599"/>
    </row>
    <row r="22" spans="1:7" s="93" customFormat="1" ht="16.5" customHeight="1">
      <c r="B22" s="111">
        <v>4</v>
      </c>
      <c r="C22" s="100">
        <v>104</v>
      </c>
      <c r="D22" s="598" t="s">
        <v>2031</v>
      </c>
      <c r="E22" s="598"/>
      <c r="F22" s="567" t="s">
        <v>413</v>
      </c>
      <c r="G22" s="599"/>
    </row>
    <row r="23" spans="1:7" s="93" customFormat="1" ht="16.5" customHeight="1">
      <c r="B23" s="111">
        <v>5</v>
      </c>
      <c r="C23" s="100">
        <v>105</v>
      </c>
      <c r="D23" s="598" t="s">
        <v>2032</v>
      </c>
      <c r="E23" s="598"/>
      <c r="F23" s="567" t="s">
        <v>417</v>
      </c>
      <c r="G23" s="599"/>
    </row>
    <row r="24" spans="1:7" s="93" customFormat="1" ht="16.5" customHeight="1">
      <c r="A24" s="94"/>
      <c r="B24" s="111">
        <v>6</v>
      </c>
      <c r="C24" s="100">
        <v>106</v>
      </c>
      <c r="D24" s="598" t="s">
        <v>100</v>
      </c>
      <c r="E24" s="598"/>
      <c r="F24" s="567" t="s">
        <v>99</v>
      </c>
      <c r="G24" s="599"/>
    </row>
    <row r="25" spans="1:7" s="93" customFormat="1" ht="16.5" customHeight="1">
      <c r="B25" s="111">
        <v>7</v>
      </c>
      <c r="C25" s="100">
        <v>107</v>
      </c>
      <c r="D25" s="598" t="s">
        <v>2033</v>
      </c>
      <c r="E25" s="598"/>
      <c r="F25" s="567" t="s">
        <v>447</v>
      </c>
      <c r="G25" s="599"/>
    </row>
    <row r="26" spans="1:7" s="93" customFormat="1" ht="16.5" customHeight="1">
      <c r="B26" s="111">
        <v>8</v>
      </c>
      <c r="C26" s="100">
        <v>108</v>
      </c>
      <c r="D26" s="598" t="s">
        <v>2034</v>
      </c>
      <c r="E26" s="598"/>
      <c r="F26" s="567" t="s">
        <v>450</v>
      </c>
      <c r="G26" s="599"/>
    </row>
    <row r="27" spans="1:7" s="93" customFormat="1" ht="16.5" customHeight="1">
      <c r="B27" s="111">
        <v>9</v>
      </c>
      <c r="C27" s="100">
        <v>109</v>
      </c>
      <c r="D27" s="598" t="s">
        <v>2035</v>
      </c>
      <c r="E27" s="598"/>
      <c r="F27" s="567" t="s">
        <v>92</v>
      </c>
      <c r="G27" s="599"/>
    </row>
    <row r="28" spans="1:7" s="93" customFormat="1" ht="16.5" customHeight="1">
      <c r="B28" s="111">
        <v>10</v>
      </c>
      <c r="C28" s="100">
        <v>110</v>
      </c>
      <c r="D28" s="598" t="s">
        <v>2036</v>
      </c>
      <c r="E28" s="598"/>
      <c r="F28" s="567" t="s">
        <v>438</v>
      </c>
      <c r="G28" s="599"/>
    </row>
    <row r="29" spans="1:7" s="93" customFormat="1" ht="16.5" customHeight="1">
      <c r="B29" s="151">
        <v>11</v>
      </c>
      <c r="C29" s="106">
        <v>111</v>
      </c>
      <c r="D29" s="561" t="s">
        <v>2037</v>
      </c>
      <c r="E29" s="561"/>
      <c r="F29" s="600" t="s">
        <v>442</v>
      </c>
      <c r="G29" s="601"/>
    </row>
    <row r="30" spans="1:7" s="93" customFormat="1" ht="16.5" customHeight="1">
      <c r="G30" s="4"/>
    </row>
    <row r="31" spans="1:7" s="93" customFormat="1" ht="16.5" customHeight="1">
      <c r="G31" s="4"/>
    </row>
    <row r="32" spans="1:7" s="93" customFormat="1" ht="16.5" customHeight="1">
      <c r="A32" s="94" t="s">
        <v>1232</v>
      </c>
      <c r="B32" s="93" t="s">
        <v>2038</v>
      </c>
      <c r="G32" s="4"/>
    </row>
    <row r="33" spans="1:12" s="93" customFormat="1" ht="16.5" customHeight="1"/>
    <row r="34" spans="1:12" s="93" customFormat="1" ht="39.75" customHeight="1">
      <c r="A34" s="94"/>
      <c r="B34" s="596" t="s">
        <v>2039</v>
      </c>
      <c r="C34" s="596"/>
      <c r="D34" s="596"/>
      <c r="E34" s="596"/>
      <c r="F34" s="596"/>
    </row>
    <row r="35" spans="1:12" s="93" customFormat="1" ht="16.5" customHeight="1">
      <c r="B35" s="95" t="s">
        <v>2040</v>
      </c>
      <c r="C35" s="96" t="s">
        <v>2041</v>
      </c>
      <c r="D35" s="96" t="s">
        <v>2042</v>
      </c>
      <c r="E35" s="96" t="s">
        <v>2043</v>
      </c>
      <c r="F35" s="97" t="s">
        <v>2044</v>
      </c>
      <c r="H35" s="482" t="s">
        <v>2045</v>
      </c>
      <c r="I35" s="504"/>
      <c r="J35" s="138"/>
      <c r="K35" s="516" t="s">
        <v>1238</v>
      </c>
      <c r="L35" s="516"/>
    </row>
    <row r="36" spans="1:12" s="93" customFormat="1" ht="16.5" customHeight="1">
      <c r="B36" s="483" t="s">
        <v>2046</v>
      </c>
      <c r="C36" s="110" t="s">
        <v>2047</v>
      </c>
      <c r="D36" s="110">
        <v>31</v>
      </c>
      <c r="E36" s="110">
        <v>85</v>
      </c>
      <c r="F36" s="245">
        <f>D36/E36</f>
        <v>0.36470588235294116</v>
      </c>
      <c r="H36" s="597" t="s">
        <v>2030</v>
      </c>
      <c r="I36" s="598"/>
      <c r="J36" s="101">
        <f>SUBTOTAL(1,$D$36:$D$47)</f>
        <v>13.2</v>
      </c>
      <c r="K36" s="108" t="s">
        <v>2048</v>
      </c>
    </row>
    <row r="37" spans="1:12" s="93" customFormat="1" ht="16.5" customHeight="1">
      <c r="B37" s="483"/>
      <c r="C37" s="110" t="s">
        <v>2049</v>
      </c>
      <c r="D37" s="110">
        <v>12</v>
      </c>
      <c r="E37" s="110">
        <v>25</v>
      </c>
      <c r="F37" s="245">
        <f t="shared" ref="F37:F48" si="0">D37/E37</f>
        <v>0.48</v>
      </c>
      <c r="H37" s="597" t="s">
        <v>2050</v>
      </c>
      <c r="I37" s="598"/>
      <c r="J37" s="101">
        <f>SUBTOTAL(2,$D$36:$D$47)</f>
        <v>10</v>
      </c>
      <c r="K37" s="108" t="s">
        <v>2051</v>
      </c>
    </row>
    <row r="38" spans="1:12" s="93" customFormat="1" ht="16.5" customHeight="1">
      <c r="B38" s="483"/>
      <c r="C38" s="110" t="s">
        <v>2052</v>
      </c>
      <c r="D38" s="110">
        <v>7</v>
      </c>
      <c r="E38" s="110">
        <v>17</v>
      </c>
      <c r="F38" s="245">
        <f t="shared" si="0"/>
        <v>0.41176470588235292</v>
      </c>
      <c r="H38" s="597" t="s">
        <v>390</v>
      </c>
      <c r="I38" s="598"/>
      <c r="J38" s="101">
        <f>SUBTOTAL(3,$D$36:$D$47)</f>
        <v>10</v>
      </c>
      <c r="K38" s="108" t="s">
        <v>2053</v>
      </c>
    </row>
    <row r="39" spans="1:12" s="93" customFormat="1" ht="16.5" customHeight="1">
      <c r="B39" s="483"/>
      <c r="C39" s="110" t="s">
        <v>2054</v>
      </c>
      <c r="D39" s="110">
        <v>6</v>
      </c>
      <c r="E39" s="110">
        <v>18</v>
      </c>
      <c r="F39" s="245">
        <f t="shared" si="0"/>
        <v>0.33333333333333331</v>
      </c>
      <c r="H39" s="597" t="s">
        <v>2031</v>
      </c>
      <c r="I39" s="598"/>
      <c r="J39" s="101">
        <f>SUBTOTAL(4,$D$36:$D$47)</f>
        <v>31</v>
      </c>
      <c r="K39" s="108" t="s">
        <v>2055</v>
      </c>
    </row>
    <row r="40" spans="1:12" s="93" customFormat="1" ht="16.5" customHeight="1">
      <c r="B40" s="483"/>
      <c r="C40" s="110" t="s">
        <v>2056</v>
      </c>
      <c r="D40" s="110">
        <v>11</v>
      </c>
      <c r="E40" s="110">
        <v>22</v>
      </c>
      <c r="F40" s="245">
        <f t="shared" si="0"/>
        <v>0.5</v>
      </c>
      <c r="H40" s="597" t="s">
        <v>2032</v>
      </c>
      <c r="I40" s="598"/>
      <c r="J40" s="101">
        <f>SUBTOTAL(5,$D$36:$D$47)</f>
        <v>5</v>
      </c>
      <c r="K40" s="108" t="s">
        <v>2057</v>
      </c>
    </row>
    <row r="41" spans="1:12" s="93" customFormat="1" ht="16.5" customHeight="1">
      <c r="B41" s="590" t="s">
        <v>2058</v>
      </c>
      <c r="C41" s="591"/>
      <c r="D41" s="307">
        <f>SUBTOTAL(9,D36:D40)</f>
        <v>67</v>
      </c>
      <c r="E41" s="307">
        <f>SUBTOTAL(9,E36:E40)</f>
        <v>167</v>
      </c>
      <c r="F41" s="308">
        <f t="shared" si="0"/>
        <v>0.40119760479041916</v>
      </c>
      <c r="H41" s="597" t="s">
        <v>100</v>
      </c>
      <c r="I41" s="598"/>
      <c r="J41" s="221">
        <f>SUBTOTAL(6,$D$36:$D$47)</f>
        <v>20881476000</v>
      </c>
      <c r="K41" s="108" t="s">
        <v>2059</v>
      </c>
    </row>
    <row r="42" spans="1:12" s="93" customFormat="1" ht="16.5" customHeight="1">
      <c r="B42" s="483" t="s">
        <v>2060</v>
      </c>
      <c r="C42" s="110" t="s">
        <v>2061</v>
      </c>
      <c r="D42" s="110">
        <v>5</v>
      </c>
      <c r="E42" s="110">
        <v>14</v>
      </c>
      <c r="F42" s="245">
        <f t="shared" si="0"/>
        <v>0.35714285714285715</v>
      </c>
      <c r="H42" s="597" t="s">
        <v>2033</v>
      </c>
      <c r="I42" s="598"/>
      <c r="J42" s="101">
        <f>SUBTOTAL(7,$D$36:$D$47)</f>
        <v>9.2592296295822205</v>
      </c>
      <c r="K42" s="108" t="s">
        <v>2062</v>
      </c>
    </row>
    <row r="43" spans="1:12" s="93" customFormat="1" ht="16.5" customHeight="1">
      <c r="B43" s="483"/>
      <c r="C43" s="110" t="s">
        <v>2063</v>
      </c>
      <c r="D43" s="110">
        <v>27</v>
      </c>
      <c r="E43" s="110">
        <v>65</v>
      </c>
      <c r="F43" s="245">
        <f t="shared" si="0"/>
        <v>0.41538461538461541</v>
      </c>
      <c r="H43" s="597" t="s">
        <v>2034</v>
      </c>
      <c r="I43" s="598"/>
      <c r="J43" s="101">
        <f>SUBTOTAL(8,$D$36:$D$47)</f>
        <v>8.784076502399099</v>
      </c>
      <c r="K43" s="108" t="s">
        <v>2064</v>
      </c>
    </row>
    <row r="44" spans="1:12" s="93" customFormat="1" ht="16.5" customHeight="1">
      <c r="B44" s="483"/>
      <c r="C44" s="110" t="s">
        <v>2065</v>
      </c>
      <c r="D44" s="110">
        <v>10</v>
      </c>
      <c r="E44" s="110">
        <v>22</v>
      </c>
      <c r="F44" s="245">
        <f t="shared" si="0"/>
        <v>0.45454545454545453</v>
      </c>
      <c r="H44" s="597" t="s">
        <v>2035</v>
      </c>
      <c r="I44" s="598"/>
      <c r="J44" s="101">
        <f>SUBTOTAL(9,$D$36:$D$47)</f>
        <v>132</v>
      </c>
      <c r="K44" s="108" t="s">
        <v>2066</v>
      </c>
    </row>
    <row r="45" spans="1:12" s="93" customFormat="1" ht="16.5" customHeight="1">
      <c r="B45" s="483"/>
      <c r="C45" s="110" t="s">
        <v>2067</v>
      </c>
      <c r="D45" s="110">
        <v>5</v>
      </c>
      <c r="E45" s="110">
        <v>12</v>
      </c>
      <c r="F45" s="245">
        <f t="shared" si="0"/>
        <v>0.41666666666666669</v>
      </c>
      <c r="H45" s="597" t="s">
        <v>2036</v>
      </c>
      <c r="I45" s="598"/>
      <c r="J45" s="101">
        <f>SUBTOTAL(10,$D$36:$D$47)</f>
        <v>85.73333333333332</v>
      </c>
      <c r="K45" s="108" t="s">
        <v>2068</v>
      </c>
    </row>
    <row r="46" spans="1:12" s="93" customFormat="1" ht="16.5" customHeight="1">
      <c r="B46" s="483"/>
      <c r="C46" s="110" t="s">
        <v>2069</v>
      </c>
      <c r="D46" s="110">
        <v>18</v>
      </c>
      <c r="E46" s="110">
        <v>26</v>
      </c>
      <c r="F46" s="245">
        <f t="shared" si="0"/>
        <v>0.69230769230769229</v>
      </c>
      <c r="H46" s="560" t="s">
        <v>2037</v>
      </c>
      <c r="I46" s="561"/>
      <c r="J46" s="107">
        <f>SUBTOTAL(11,$D$36:$D$47)</f>
        <v>77.16</v>
      </c>
      <c r="K46" s="108" t="s">
        <v>2070</v>
      </c>
    </row>
    <row r="47" spans="1:12" s="93" customFormat="1" ht="16.5" customHeight="1">
      <c r="B47" s="590" t="s">
        <v>2058</v>
      </c>
      <c r="C47" s="591"/>
      <c r="D47" s="307">
        <f>SUBTOTAL(9,D42:D46)</f>
        <v>65</v>
      </c>
      <c r="E47" s="307">
        <f>SUBTOTAL(9,E42:E46)</f>
        <v>139</v>
      </c>
      <c r="F47" s="308">
        <f t="shared" si="0"/>
        <v>0.46762589928057552</v>
      </c>
    </row>
    <row r="48" spans="1:12" s="93" customFormat="1" ht="16.5" customHeight="1">
      <c r="B48" s="592" t="s">
        <v>2071</v>
      </c>
      <c r="C48" s="593"/>
      <c r="D48" s="309">
        <f>SUBTOTAL(9,D36:D47)</f>
        <v>132</v>
      </c>
      <c r="E48" s="309">
        <f>SUBTOTAL(9,E36:E47)</f>
        <v>306</v>
      </c>
      <c r="F48" s="310">
        <f t="shared" si="0"/>
        <v>0.43137254901960786</v>
      </c>
    </row>
    <row r="49" spans="1:8" ht="16.5" customHeight="1"/>
    <row r="50" spans="1:8" ht="16.5" customHeight="1"/>
    <row r="51" spans="1:8" ht="16.5" customHeight="1">
      <c r="B51" s="516" t="s">
        <v>2072</v>
      </c>
      <c r="C51" s="516"/>
      <c r="D51" s="93" t="s">
        <v>2073</v>
      </c>
      <c r="E51" s="93"/>
      <c r="G51" s="93" t="s">
        <v>2074</v>
      </c>
    </row>
    <row r="52" spans="1:8" ht="16.5" customHeight="1">
      <c r="B52" s="108" t="s">
        <v>2075</v>
      </c>
      <c r="C52" s="93"/>
      <c r="D52" s="93">
        <f>SUM(E36:E47)</f>
        <v>612</v>
      </c>
      <c r="E52" s="108" t="s">
        <v>2076</v>
      </c>
      <c r="G52" s="93" t="s">
        <v>2077</v>
      </c>
    </row>
    <row r="53" spans="1:8" ht="16.5" customHeight="1"/>
    <row r="54" spans="1:8" ht="16.5" customHeight="1"/>
    <row r="55" spans="1:8" ht="16.5" customHeight="1">
      <c r="A55" s="94" t="s">
        <v>1232</v>
      </c>
      <c r="B55" s="93" t="s">
        <v>2078</v>
      </c>
    </row>
    <row r="56" spans="1:8" ht="16.5" customHeight="1"/>
    <row r="57" spans="1:8" ht="39.75" customHeight="1">
      <c r="B57" s="596" t="s">
        <v>2039</v>
      </c>
      <c r="C57" s="596"/>
      <c r="D57" s="596"/>
      <c r="E57" s="596"/>
      <c r="F57" s="596"/>
    </row>
    <row r="58" spans="1:8" ht="16.5" customHeight="1">
      <c r="B58" s="95" t="s">
        <v>2040</v>
      </c>
      <c r="C58" s="96" t="s">
        <v>2041</v>
      </c>
      <c r="D58" s="96" t="s">
        <v>2042</v>
      </c>
      <c r="E58" s="96" t="s">
        <v>2043</v>
      </c>
      <c r="F58" s="97" t="s">
        <v>2044</v>
      </c>
    </row>
    <row r="59" spans="1:8" ht="16.5" customHeight="1">
      <c r="B59" s="483" t="s">
        <v>2046</v>
      </c>
      <c r="C59" s="110" t="s">
        <v>2047</v>
      </c>
      <c r="D59" s="110">
        <v>31</v>
      </c>
      <c r="E59" s="110">
        <v>85</v>
      </c>
      <c r="F59" s="245">
        <f>D59/E59</f>
        <v>0.36470588235294116</v>
      </c>
    </row>
    <row r="60" spans="1:8" ht="16.5" hidden="1" customHeight="1">
      <c r="B60" s="483"/>
      <c r="C60" s="110" t="s">
        <v>2049</v>
      </c>
      <c r="D60" s="110">
        <v>12</v>
      </c>
      <c r="E60" s="110">
        <v>25</v>
      </c>
      <c r="F60" s="245">
        <f t="shared" ref="F60:F71" si="1">D60/E60</f>
        <v>0.48</v>
      </c>
    </row>
    <row r="61" spans="1:8" ht="16.5" customHeight="1">
      <c r="B61" s="483"/>
      <c r="C61" s="110" t="s">
        <v>2052</v>
      </c>
      <c r="D61" s="110">
        <v>7</v>
      </c>
      <c r="E61" s="110">
        <v>17</v>
      </c>
      <c r="F61" s="245">
        <f t="shared" si="1"/>
        <v>0.41176470588235292</v>
      </c>
    </row>
    <row r="62" spans="1:8" ht="16.5" customHeight="1">
      <c r="B62" s="483"/>
      <c r="C62" s="110" t="s">
        <v>2054</v>
      </c>
      <c r="D62" s="110">
        <v>6</v>
      </c>
      <c r="E62" s="110">
        <v>18</v>
      </c>
      <c r="F62" s="245">
        <f t="shared" si="1"/>
        <v>0.33333333333333331</v>
      </c>
      <c r="H62" s="93"/>
    </row>
    <row r="63" spans="1:8" ht="16.5" customHeight="1">
      <c r="B63" s="483"/>
      <c r="C63" s="110" t="s">
        <v>2056</v>
      </c>
      <c r="D63" s="110">
        <v>11</v>
      </c>
      <c r="E63" s="110">
        <v>22</v>
      </c>
      <c r="F63" s="245">
        <f t="shared" si="1"/>
        <v>0.5</v>
      </c>
      <c r="H63" s="93"/>
    </row>
    <row r="64" spans="1:8" ht="16.5" customHeight="1">
      <c r="B64" s="590" t="s">
        <v>2058</v>
      </c>
      <c r="C64" s="591"/>
      <c r="D64" s="307">
        <f>SUBTOTAL(109,D59:D63)</f>
        <v>55</v>
      </c>
      <c r="E64" s="307">
        <f>SUBTOTAL(109,E59:E63)</f>
        <v>142</v>
      </c>
      <c r="F64" s="308">
        <f t="shared" si="1"/>
        <v>0.38732394366197181</v>
      </c>
    </row>
    <row r="65" spans="2:8" ht="16.5" hidden="1" customHeight="1">
      <c r="B65" s="483" t="s">
        <v>2060</v>
      </c>
      <c r="C65" s="110" t="s">
        <v>2061</v>
      </c>
      <c r="D65" s="110">
        <v>5</v>
      </c>
      <c r="E65" s="110">
        <v>14</v>
      </c>
      <c r="F65" s="245">
        <f t="shared" si="1"/>
        <v>0.35714285714285715</v>
      </c>
    </row>
    <row r="66" spans="2:8" ht="16.5" customHeight="1">
      <c r="B66" s="483"/>
      <c r="C66" s="110" t="s">
        <v>2063</v>
      </c>
      <c r="D66" s="110">
        <v>27</v>
      </c>
      <c r="E66" s="110">
        <v>65</v>
      </c>
      <c r="F66" s="245">
        <f t="shared" si="1"/>
        <v>0.41538461538461541</v>
      </c>
    </row>
    <row r="67" spans="2:8" ht="16.5" customHeight="1">
      <c r="B67" s="483"/>
      <c r="C67" s="110" t="s">
        <v>2065</v>
      </c>
      <c r="D67" s="110">
        <v>10</v>
      </c>
      <c r="E67" s="110">
        <v>22</v>
      </c>
      <c r="F67" s="245">
        <f t="shared" si="1"/>
        <v>0.45454545454545453</v>
      </c>
    </row>
    <row r="68" spans="2:8" ht="16.5" customHeight="1">
      <c r="B68" s="483"/>
      <c r="C68" s="110" t="s">
        <v>2067</v>
      </c>
      <c r="D68" s="110">
        <v>5</v>
      </c>
      <c r="E68" s="110">
        <v>12</v>
      </c>
      <c r="F68" s="245">
        <f t="shared" si="1"/>
        <v>0.41666666666666669</v>
      </c>
      <c r="H68" s="93" t="s">
        <v>2079</v>
      </c>
    </row>
    <row r="69" spans="2:8" ht="16.5" customHeight="1">
      <c r="B69" s="483"/>
      <c r="C69" s="110" t="s">
        <v>2069</v>
      </c>
      <c r="D69" s="110">
        <v>18</v>
      </c>
      <c r="E69" s="110">
        <v>26</v>
      </c>
      <c r="F69" s="245">
        <f t="shared" si="1"/>
        <v>0.69230769230769229</v>
      </c>
      <c r="H69" s="93" t="s">
        <v>2080</v>
      </c>
    </row>
    <row r="70" spans="2:8" ht="16.5" customHeight="1">
      <c r="B70" s="590" t="s">
        <v>2058</v>
      </c>
      <c r="C70" s="591"/>
      <c r="D70" s="307">
        <f>SUBTOTAL(109,D65:D69)</f>
        <v>60</v>
      </c>
      <c r="E70" s="307">
        <f>SUBTOTAL(109,E65:E69)</f>
        <v>125</v>
      </c>
      <c r="F70" s="308">
        <f t="shared" si="1"/>
        <v>0.48</v>
      </c>
    </row>
    <row r="71" spans="2:8" ht="16.5" customHeight="1">
      <c r="B71" s="592" t="s">
        <v>2071</v>
      </c>
      <c r="C71" s="593"/>
      <c r="D71" s="309">
        <f>SUBTOTAL(109,D59:D70)</f>
        <v>115</v>
      </c>
      <c r="E71" s="309">
        <f>SUBTOTAL(109,E59:E70)</f>
        <v>267</v>
      </c>
      <c r="F71" s="310">
        <f t="shared" si="1"/>
        <v>0.43071161048689138</v>
      </c>
    </row>
    <row r="72" spans="2:8" ht="16.5" customHeight="1"/>
  </sheetData>
  <mergeCells count="70">
    <mergeCell ref="A1:C1"/>
    <mergeCell ref="E1:F1"/>
    <mergeCell ref="A2:B2"/>
    <mergeCell ref="C2:M2"/>
    <mergeCell ref="A3:B3"/>
    <mergeCell ref="C3:M3"/>
    <mergeCell ref="B14:C14"/>
    <mergeCell ref="D14:E18"/>
    <mergeCell ref="F14:G18"/>
    <mergeCell ref="A4:B4"/>
    <mergeCell ref="C4:M4"/>
    <mergeCell ref="A5:B5"/>
    <mergeCell ref="C5:M5"/>
    <mergeCell ref="A6:B6"/>
    <mergeCell ref="C6:M6"/>
    <mergeCell ref="C7:M7"/>
    <mergeCell ref="C8:M8"/>
    <mergeCell ref="B9:M9"/>
    <mergeCell ref="B10:M10"/>
    <mergeCell ref="B11:L11"/>
    <mergeCell ref="D19:E19"/>
    <mergeCell ref="F19:G19"/>
    <mergeCell ref="D20:E20"/>
    <mergeCell ref="F20:G20"/>
    <mergeCell ref="D21:E21"/>
    <mergeCell ref="F21:G21"/>
    <mergeCell ref="D22:E22"/>
    <mergeCell ref="F22:G22"/>
    <mergeCell ref="D23:E23"/>
    <mergeCell ref="F23:G23"/>
    <mergeCell ref="D24:E24"/>
    <mergeCell ref="F24:G24"/>
    <mergeCell ref="D25:E25"/>
    <mergeCell ref="F25:G25"/>
    <mergeCell ref="D26:E26"/>
    <mergeCell ref="F26:G26"/>
    <mergeCell ref="D27:E27"/>
    <mergeCell ref="F27:G27"/>
    <mergeCell ref="H40:I40"/>
    <mergeCell ref="D28:E28"/>
    <mergeCell ref="F28:G28"/>
    <mergeCell ref="D29:E29"/>
    <mergeCell ref="F29:G29"/>
    <mergeCell ref="B34:F34"/>
    <mergeCell ref="H35:I35"/>
    <mergeCell ref="K35:L35"/>
    <mergeCell ref="H36:I36"/>
    <mergeCell ref="H37:I37"/>
    <mergeCell ref="H38:I38"/>
    <mergeCell ref="H39:I39"/>
    <mergeCell ref="H41:I41"/>
    <mergeCell ref="H42:I42"/>
    <mergeCell ref="H43:I43"/>
    <mergeCell ref="H44:I44"/>
    <mergeCell ref="H45:I45"/>
    <mergeCell ref="H46:I46"/>
    <mergeCell ref="B47:C47"/>
    <mergeCell ref="B48:C48"/>
    <mergeCell ref="B51:C51"/>
    <mergeCell ref="B57:F57"/>
    <mergeCell ref="B70:C70"/>
    <mergeCell ref="B71:C71"/>
    <mergeCell ref="B15:B18"/>
    <mergeCell ref="B36:B40"/>
    <mergeCell ref="B42:B46"/>
    <mergeCell ref="B59:B63"/>
    <mergeCell ref="B65:B69"/>
    <mergeCell ref="C15:C18"/>
    <mergeCell ref="B41:C41"/>
    <mergeCell ref="B64:C64"/>
  </mergeCells>
  <phoneticPr fontId="2" type="noConversion"/>
  <pageMargins left="0.75" right="0.75" top="1" bottom="1" header="0.5" footer="0.5"/>
  <pageSetup paperSize="9" orientation="portrait" horizontalDpi="1200" verticalDpi="1200"/>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V926"/>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116</v>
      </c>
      <c r="B1" s="498"/>
      <c r="C1" s="499"/>
      <c r="D1" s="87"/>
      <c r="E1" s="500" t="str">
        <f>HYPERLINK("#目录!A69","跳转回到目录页")</f>
        <v>跳转回到目录页</v>
      </c>
      <c r="F1" s="501"/>
    </row>
    <row r="2" spans="1:48" s="88" customFormat="1" ht="26.25" customHeight="1">
      <c r="A2" s="502" t="s">
        <v>1216</v>
      </c>
      <c r="B2" s="502"/>
      <c r="C2" s="503" t="s">
        <v>117</v>
      </c>
      <c r="D2" s="503"/>
      <c r="E2" s="503"/>
      <c r="F2" s="503"/>
      <c r="G2" s="503"/>
      <c r="H2" s="503"/>
      <c r="I2" s="503"/>
      <c r="J2" s="503"/>
      <c r="K2" s="503"/>
      <c r="L2" s="503"/>
      <c r="M2" s="503"/>
    </row>
    <row r="3" spans="1:48" s="88" customFormat="1" ht="16.5" customHeight="1">
      <c r="A3" s="496" t="s">
        <v>1217</v>
      </c>
      <c r="B3" s="496"/>
      <c r="C3" s="493" t="s">
        <v>2081</v>
      </c>
      <c r="D3" s="493"/>
      <c r="E3" s="493"/>
      <c r="F3" s="493"/>
      <c r="G3" s="493"/>
      <c r="H3" s="493"/>
      <c r="I3" s="493"/>
      <c r="J3" s="493"/>
      <c r="K3" s="493"/>
      <c r="L3" s="493"/>
      <c r="M3" s="493"/>
    </row>
    <row r="4" spans="1:48" s="88" customFormat="1" ht="16.5" customHeight="1">
      <c r="A4" s="496" t="s">
        <v>5786</v>
      </c>
      <c r="B4" s="496"/>
      <c r="C4" s="497" t="s">
        <v>5945</v>
      </c>
      <c r="D4" s="497"/>
      <c r="E4" s="497"/>
      <c r="F4" s="497"/>
      <c r="G4" s="497"/>
      <c r="H4" s="497"/>
      <c r="I4" s="497"/>
      <c r="J4" s="497"/>
      <c r="K4" s="497"/>
      <c r="L4" s="497"/>
      <c r="M4" s="497"/>
    </row>
    <row r="5" spans="1:48" s="88" customFormat="1" ht="16.5" customHeight="1">
      <c r="A5" s="496" t="s">
        <v>1220</v>
      </c>
      <c r="B5" s="496"/>
      <c r="C5" s="493" t="s">
        <v>2082</v>
      </c>
      <c r="D5" s="493"/>
      <c r="E5" s="493"/>
      <c r="F5" s="493"/>
      <c r="G5" s="493"/>
      <c r="H5" s="493"/>
      <c r="I5" s="493"/>
      <c r="J5" s="493"/>
      <c r="K5" s="493"/>
      <c r="L5" s="493"/>
      <c r="M5" s="493"/>
    </row>
    <row r="6" spans="1:48" s="88" customFormat="1" ht="16.5" customHeight="1">
      <c r="A6" s="496" t="s">
        <v>5785</v>
      </c>
      <c r="B6" s="496"/>
      <c r="C6" s="493" t="s">
        <v>2083</v>
      </c>
      <c r="D6" s="493"/>
      <c r="E6" s="493"/>
      <c r="F6" s="493"/>
      <c r="G6" s="493"/>
      <c r="H6" s="493"/>
      <c r="I6" s="493"/>
      <c r="J6" s="493"/>
      <c r="K6" s="493"/>
      <c r="L6" s="493"/>
      <c r="M6" s="493"/>
    </row>
    <row r="7" spans="1:48" s="88" customFormat="1" ht="16.5" customHeight="1">
      <c r="A7" s="89" t="s">
        <v>1223</v>
      </c>
      <c r="B7" s="92" t="s">
        <v>1576</v>
      </c>
      <c r="C7" s="493" t="s">
        <v>2084</v>
      </c>
      <c r="D7" s="493"/>
      <c r="E7" s="493"/>
      <c r="F7" s="493"/>
      <c r="G7" s="493"/>
      <c r="H7" s="493"/>
      <c r="I7" s="493"/>
      <c r="J7" s="493"/>
      <c r="K7" s="493"/>
      <c r="L7" s="493"/>
      <c r="M7" s="493"/>
    </row>
    <row r="8" spans="1:48" s="88" customFormat="1" ht="16.5" customHeight="1">
      <c r="A8" s="89" t="s">
        <v>1228</v>
      </c>
      <c r="B8" s="493"/>
      <c r="C8" s="493"/>
      <c r="D8" s="493"/>
      <c r="E8" s="493"/>
      <c r="F8" s="493"/>
      <c r="G8" s="493"/>
      <c r="H8" s="493"/>
      <c r="I8" s="493"/>
      <c r="J8" s="493"/>
      <c r="K8" s="493"/>
      <c r="L8" s="493"/>
      <c r="M8" s="493"/>
    </row>
    <row r="9" spans="1:48" ht="16.5" customHeight="1">
      <c r="A9" s="89" t="s">
        <v>1229</v>
      </c>
      <c r="B9" s="493" t="s">
        <v>2085</v>
      </c>
      <c r="C9" s="493"/>
      <c r="D9" s="493"/>
      <c r="E9" s="493"/>
      <c r="F9" s="493"/>
      <c r="G9" s="493"/>
      <c r="H9" s="493"/>
      <c r="I9" s="493"/>
      <c r="J9" s="493"/>
      <c r="K9" s="493"/>
      <c r="L9" s="493"/>
      <c r="M9" s="493"/>
    </row>
    <row r="10" spans="1:48" ht="21" customHeight="1">
      <c r="B10" s="494" t="s">
        <v>1231</v>
      </c>
      <c r="C10" s="494"/>
      <c r="D10" s="494"/>
      <c r="E10" s="494"/>
      <c r="F10" s="494"/>
      <c r="G10" s="494"/>
      <c r="H10" s="494"/>
      <c r="I10" s="494"/>
      <c r="J10" s="494"/>
      <c r="K10" s="494"/>
      <c r="L10" s="495"/>
    </row>
    <row r="11" spans="1:48" s="93" customFormat="1" ht="16.5" customHeight="1"/>
    <row r="12" spans="1:48" s="93" customFormat="1" ht="16.5" customHeight="1">
      <c r="A12" s="94" t="s">
        <v>1232</v>
      </c>
      <c r="B12" s="93" t="s">
        <v>1773</v>
      </c>
    </row>
    <row r="13" spans="1:48" s="93" customFormat="1" ht="16.5" customHeight="1">
      <c r="F13" s="607" t="s">
        <v>2086</v>
      </c>
      <c r="G13" s="547" t="s">
        <v>1238</v>
      </c>
      <c r="H13" s="547"/>
      <c r="I13" s="547"/>
      <c r="J13" s="548"/>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48" s="93" customFormat="1" ht="16.5" customHeight="1">
      <c r="B14" s="94" t="s">
        <v>2087</v>
      </c>
      <c r="C14" s="94" t="s">
        <v>1456</v>
      </c>
      <c r="D14" s="104" t="s">
        <v>1238</v>
      </c>
      <c r="F14" s="594"/>
      <c r="G14" s="608"/>
      <c r="H14" s="608"/>
      <c r="I14" s="608"/>
      <c r="J14" s="609"/>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48" s="93" customFormat="1" ht="16.5" customHeight="1">
      <c r="B15" s="187">
        <v>0.5</v>
      </c>
      <c r="C15" s="138">
        <f t="shared" ref="C15:C23" si="0">INT(B15)</f>
        <v>0</v>
      </c>
      <c r="D15" s="158" t="s">
        <v>2088</v>
      </c>
      <c r="F15" s="99">
        <f>IF(B15&gt;0,B15-INT(B15),(-B15-INT(-B15)))</f>
        <v>0.5</v>
      </c>
      <c r="G15" s="300" t="s">
        <v>2089</v>
      </c>
      <c r="H15" s="110"/>
      <c r="I15" s="110"/>
      <c r="J15" s="10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9">
        <v>-0.5</v>
      </c>
      <c r="C16" s="101">
        <f t="shared" si="0"/>
        <v>-1</v>
      </c>
      <c r="D16" s="158" t="s">
        <v>2090</v>
      </c>
      <c r="F16" s="99">
        <f t="shared" ref="F16:F23" si="1">IF(B16&gt;0,B16-INT(B16),(-B16-INT(-B16)))</f>
        <v>0.5</v>
      </c>
      <c r="G16" s="300" t="s">
        <v>2091</v>
      </c>
      <c r="H16" s="110"/>
      <c r="I16" s="110"/>
      <c r="J16" s="101"/>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9">
        <v>15</v>
      </c>
      <c r="C17" s="101">
        <f t="shared" si="0"/>
        <v>15</v>
      </c>
      <c r="D17" s="158" t="s">
        <v>2092</v>
      </c>
      <c r="F17" s="99">
        <f t="shared" si="1"/>
        <v>0</v>
      </c>
      <c r="G17" s="300" t="s">
        <v>2093</v>
      </c>
      <c r="H17" s="110"/>
      <c r="I17" s="110"/>
      <c r="J17" s="101"/>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v>-15</v>
      </c>
      <c r="C18" s="101">
        <f t="shared" si="0"/>
        <v>-15</v>
      </c>
      <c r="D18" s="158" t="s">
        <v>2094</v>
      </c>
      <c r="F18" s="99">
        <f t="shared" si="1"/>
        <v>0</v>
      </c>
      <c r="G18" s="300" t="s">
        <v>2095</v>
      </c>
      <c r="H18" s="110"/>
      <c r="I18" s="110"/>
      <c r="J18" s="101"/>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9.6300000000000008</v>
      </c>
      <c r="C19" s="101">
        <f t="shared" si="0"/>
        <v>9</v>
      </c>
      <c r="D19" s="158" t="s">
        <v>2096</v>
      </c>
      <c r="F19" s="99">
        <f t="shared" si="1"/>
        <v>0.63000000000000078</v>
      </c>
      <c r="G19" s="300" t="s">
        <v>2097</v>
      </c>
      <c r="H19" s="110"/>
      <c r="I19" s="110"/>
      <c r="J19" s="101"/>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v>-9.6300000000000008</v>
      </c>
      <c r="C20" s="101">
        <f t="shared" si="0"/>
        <v>-10</v>
      </c>
      <c r="D20" s="158" t="s">
        <v>2098</v>
      </c>
      <c r="F20" s="99">
        <f t="shared" si="1"/>
        <v>0.63000000000000078</v>
      </c>
      <c r="G20" s="300" t="s">
        <v>2099</v>
      </c>
      <c r="H20" s="110"/>
      <c r="I20" s="110"/>
      <c r="J20" s="101"/>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A21" s="94"/>
      <c r="B21" s="99">
        <v>1003.65</v>
      </c>
      <c r="C21" s="101">
        <f t="shared" si="0"/>
        <v>1003</v>
      </c>
      <c r="D21" s="158" t="s">
        <v>2100</v>
      </c>
      <c r="F21" s="99">
        <f t="shared" si="1"/>
        <v>0.64999999999997726</v>
      </c>
      <c r="G21" s="300" t="s">
        <v>2101</v>
      </c>
      <c r="H21" s="110"/>
      <c r="I21" s="110"/>
      <c r="J21" s="10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v>-1003.65</v>
      </c>
      <c r="C22" s="101">
        <f t="shared" si="0"/>
        <v>-1004</v>
      </c>
      <c r="D22" s="158" t="s">
        <v>2102</v>
      </c>
      <c r="F22" s="99">
        <f t="shared" si="1"/>
        <v>0.64999999999997726</v>
      </c>
      <c r="G22" s="300" t="s">
        <v>2103</v>
      </c>
      <c r="H22" s="110"/>
      <c r="I22" s="110"/>
      <c r="J22" s="101"/>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105" t="s">
        <v>1904</v>
      </c>
      <c r="C23" s="107" t="e">
        <f t="shared" si="0"/>
        <v>#VALUE!</v>
      </c>
      <c r="D23" s="158" t="s">
        <v>2104</v>
      </c>
      <c r="F23" s="105" t="e">
        <f t="shared" si="1"/>
        <v>#VALUE!</v>
      </c>
      <c r="G23" s="301" t="s">
        <v>2105</v>
      </c>
      <c r="H23" s="113"/>
      <c r="I23" s="113"/>
      <c r="J23" s="107"/>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A26" s="9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A31" s="94"/>
      <c r="B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2:48" s="93" customFormat="1" ht="16.5" customHeight="1">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2:48" s="93" customFormat="1" ht="14.2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2:48" s="93" customFormat="1" ht="14.2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2:48" s="93" customFormat="1" ht="14.2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2:48" s="93" customFormat="1" ht="14.2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2:48" s="93" customFormat="1" ht="14.2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2:48" s="93" customFormat="1" ht="14.2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2:48" s="93" customFormat="1" ht="14.25" customHeight="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2:48" s="93" customFormat="1" ht="14.25" customHeight="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2:48" s="93" customFormat="1" ht="14.25" customHeight="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2:48" s="93" customFormat="1" ht="14.25" customHeight="1">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2:48" s="93" customFormat="1" ht="14.25" customHeight="1">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2:48" s="93" customFormat="1" ht="14.25" customHeight="1">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2:48" s="93" customFormat="1" ht="14.25" customHeight="1">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2:48" s="93" customFormat="1" ht="14.25" customHeight="1">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2:48" s="93" customFormat="1" ht="14.25" customHeight="1">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2:48" s="93" customFormat="1" ht="14.25" customHeight="1">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2:48" s="93" customFormat="1" ht="14.25" customHeight="1">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2:48" s="93" customFormat="1" ht="14.25" customHeight="1">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2:48" s="93" customFormat="1" ht="14.25" customHeight="1">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2:48" s="93" customFormat="1" ht="14.25" customHeight="1">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2:48" s="93" customFormat="1" ht="14.25" customHeight="1">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12:48" s="93" customFormat="1" ht="14.25" customHeight="1">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2:48" s="93" customFormat="1" ht="14.25" customHeight="1">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12:48" s="93" customFormat="1" ht="14.25" customHeight="1">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2:48" s="93" customFormat="1" ht="14.25" customHeight="1">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12:48" s="93" customFormat="1" ht="14.25" customHeight="1">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2:48" s="93" customFormat="1" ht="14.25" customHeight="1">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12:48" s="93" customFormat="1" ht="14.25" customHeight="1">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2:48" s="93" customFormat="1" ht="14.25" customHeight="1">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12:48" s="93" customFormat="1" ht="14.25" customHeight="1">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2:48" s="93" customFormat="1" ht="14.25" customHeight="1">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2:48" s="93" customFormat="1" ht="14.25" customHeight="1">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2:48" s="93" customFormat="1" ht="14.25" customHeight="1">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2:48" s="93" customFormat="1" ht="14.25" customHeight="1">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2:48" s="93" customFormat="1" ht="14.25" customHeight="1">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2:48" s="93" customFormat="1" ht="14.25" customHeight="1">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2:48" s="93" customFormat="1" ht="14.25" customHeight="1">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2:48" s="93" customFormat="1" ht="14.25" customHeight="1">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2:48" s="93" customFormat="1" ht="14.25" customHeight="1">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2:48" s="93" customFormat="1" ht="14.25" customHeight="1">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2:48" s="93" customFormat="1" ht="14.25" customHeight="1">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2:48" s="93" customFormat="1" ht="14.25" customHeight="1">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2:48" s="93" customFormat="1" ht="14.25" customHeight="1">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2:48" s="93" customFormat="1" ht="14.25" customHeight="1">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2:48" s="93" customFormat="1" ht="14.2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2:48" s="93" customFormat="1" ht="14.25" customHeight="1">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2:48" s="93" customFormat="1" ht="14.2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2:48" s="93" customFormat="1" ht="14.2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2:48" s="93" customFormat="1" ht="14.25" customHeight="1">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2:48" s="93" customFormat="1" ht="14.25" customHeight="1">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2:48" s="93" customFormat="1" ht="14.25" customHeight="1">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2:48" s="93" customFormat="1" ht="14.25" customHeight="1">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2:48" s="93" customFormat="1" ht="14.2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2:48" s="93" customFormat="1" ht="14.25" customHeigh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2:48" s="93" customFormat="1" ht="14.25" customHeight="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2:48" s="93" customFormat="1" ht="14.25" customHeight="1">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2:48" s="93" customFormat="1" ht="14.25" customHeight="1">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2:48" s="93" customFormat="1" ht="14.25" customHeight="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4.2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4.2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4.2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4.2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ht="14.25" customHeight="1"/>
    <row r="97" spans="1:13" ht="14.25" customHeight="1"/>
    <row r="98" spans="1:13" ht="14.25" customHeight="1"/>
    <row r="100" spans="1:13" s="88" customFormat="1" ht="26.25" customHeight="1">
      <c r="A100" s="498" t="s">
        <v>118</v>
      </c>
      <c r="B100" s="498"/>
      <c r="C100" s="499"/>
      <c r="D100" s="87"/>
      <c r="E100" s="500" t="str">
        <f>HYPERLINK("#目录!A70","跳转回到目录页")</f>
        <v>跳转回到目录页</v>
      </c>
      <c r="F100" s="501"/>
    </row>
    <row r="101" spans="1:13" s="88" customFormat="1" ht="26.25" customHeight="1">
      <c r="A101" s="502" t="s">
        <v>1216</v>
      </c>
      <c r="B101" s="502"/>
      <c r="C101" s="503" t="s">
        <v>119</v>
      </c>
      <c r="D101" s="503"/>
      <c r="E101" s="503"/>
      <c r="F101" s="503"/>
      <c r="G101" s="503"/>
      <c r="H101" s="503"/>
      <c r="I101" s="503"/>
      <c r="J101" s="503"/>
      <c r="K101" s="503"/>
      <c r="L101" s="503"/>
      <c r="M101" s="503"/>
    </row>
    <row r="102" spans="1:13" s="88" customFormat="1" ht="16.5" customHeight="1">
      <c r="A102" s="496" t="s">
        <v>1217</v>
      </c>
      <c r="B102" s="496"/>
      <c r="C102" s="493" t="s">
        <v>2106</v>
      </c>
      <c r="D102" s="493"/>
      <c r="E102" s="493"/>
      <c r="F102" s="493"/>
      <c r="G102" s="493"/>
      <c r="H102" s="493"/>
      <c r="I102" s="493"/>
      <c r="J102" s="493"/>
      <c r="K102" s="493"/>
      <c r="L102" s="493"/>
      <c r="M102" s="493"/>
    </row>
    <row r="103" spans="1:13" s="88" customFormat="1" ht="16.5" customHeight="1">
      <c r="A103" s="496" t="s">
        <v>5786</v>
      </c>
      <c r="B103" s="496"/>
      <c r="C103" s="497" t="s">
        <v>5946</v>
      </c>
      <c r="D103" s="497"/>
      <c r="E103" s="497"/>
      <c r="F103" s="497"/>
      <c r="G103" s="497"/>
      <c r="H103" s="497"/>
      <c r="I103" s="497"/>
      <c r="J103" s="497"/>
      <c r="K103" s="497"/>
      <c r="L103" s="497"/>
      <c r="M103" s="497"/>
    </row>
    <row r="104" spans="1:13" s="88" customFormat="1" ht="16.5" customHeight="1">
      <c r="A104" s="496" t="s">
        <v>1220</v>
      </c>
      <c r="B104" s="496"/>
      <c r="C104" s="493" t="s">
        <v>2107</v>
      </c>
      <c r="D104" s="493"/>
      <c r="E104" s="493"/>
      <c r="F104" s="493"/>
      <c r="G104" s="493"/>
      <c r="H104" s="493"/>
      <c r="I104" s="493"/>
      <c r="J104" s="493"/>
      <c r="K104" s="493"/>
      <c r="L104" s="493"/>
      <c r="M104" s="493"/>
    </row>
    <row r="105" spans="1:13" s="88" customFormat="1" ht="16.5" customHeight="1">
      <c r="A105" s="496" t="s">
        <v>5785</v>
      </c>
      <c r="B105" s="496"/>
      <c r="C105" s="493" t="s">
        <v>2108</v>
      </c>
      <c r="D105" s="493"/>
      <c r="E105" s="493"/>
      <c r="F105" s="493"/>
      <c r="G105" s="493"/>
      <c r="H105" s="493"/>
      <c r="I105" s="493"/>
      <c r="J105" s="493"/>
      <c r="K105" s="493"/>
      <c r="L105" s="493"/>
      <c r="M105" s="493"/>
    </row>
    <row r="106" spans="1:13" s="88" customFormat="1" ht="16.5" customHeight="1">
      <c r="A106" s="89" t="s">
        <v>1223</v>
      </c>
      <c r="B106" s="92" t="s">
        <v>1576</v>
      </c>
      <c r="C106" s="493" t="s">
        <v>2109</v>
      </c>
      <c r="D106" s="493"/>
      <c r="E106" s="493"/>
      <c r="F106" s="493"/>
      <c r="G106" s="493"/>
      <c r="H106" s="493"/>
      <c r="I106" s="493"/>
      <c r="J106" s="493"/>
      <c r="K106" s="493"/>
      <c r="L106" s="493"/>
      <c r="M106" s="493"/>
    </row>
    <row r="107" spans="1:13" s="88" customFormat="1" ht="16.5" customHeight="1">
      <c r="A107" s="89"/>
      <c r="B107" s="92" t="s">
        <v>2110</v>
      </c>
      <c r="C107" s="493" t="s">
        <v>2111</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24.75" customHeight="1">
      <c r="A109" s="89" t="s">
        <v>1228</v>
      </c>
      <c r="B109" s="493" t="s">
        <v>2112</v>
      </c>
      <c r="C109" s="493"/>
      <c r="D109" s="493"/>
      <c r="E109" s="493"/>
      <c r="F109" s="493"/>
      <c r="G109" s="493"/>
      <c r="H109" s="493"/>
      <c r="I109" s="493"/>
      <c r="J109" s="493"/>
      <c r="K109" s="493"/>
      <c r="L109" s="493"/>
      <c r="M109" s="493"/>
    </row>
    <row r="110" spans="1:13" ht="16.5" customHeight="1">
      <c r="A110" s="89" t="s">
        <v>1229</v>
      </c>
      <c r="B110" s="493" t="s">
        <v>2113</v>
      </c>
      <c r="C110" s="493"/>
      <c r="D110" s="493"/>
      <c r="E110" s="493"/>
      <c r="F110" s="493"/>
      <c r="G110" s="493"/>
      <c r="H110" s="493"/>
      <c r="I110" s="493"/>
      <c r="J110" s="493"/>
      <c r="K110" s="493"/>
      <c r="L110" s="493"/>
      <c r="M110" s="493"/>
    </row>
    <row r="111" spans="1:13" ht="21" customHeight="1">
      <c r="B111" s="494" t="s">
        <v>1231</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s="93" customFormat="1" ht="16.5" customHeight="1">
      <c r="B115" s="187" t="s">
        <v>2087</v>
      </c>
      <c r="C115" s="188" t="s">
        <v>2114</v>
      </c>
      <c r="D115" s="138" t="s">
        <v>1456</v>
      </c>
      <c r="E115" s="104" t="s">
        <v>1238</v>
      </c>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pans="1:48" s="93" customFormat="1" ht="16.5" customHeight="1">
      <c r="B116" s="99">
        <v>24.6</v>
      </c>
      <c r="C116" s="110">
        <v>0</v>
      </c>
      <c r="D116" s="101">
        <f t="shared" ref="D116:D123" si="2">TRUNC(B116,C116)</f>
        <v>24</v>
      </c>
      <c r="E116" s="108" t="s">
        <v>2115</v>
      </c>
      <c r="H116" s="518" t="s">
        <v>2116</v>
      </c>
      <c r="I116" s="518"/>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spans="1:48" s="93" customFormat="1" ht="16.5" customHeight="1">
      <c r="B117" s="99">
        <v>-24.6</v>
      </c>
      <c r="C117" s="110">
        <v>0</v>
      </c>
      <c r="D117" s="101">
        <f t="shared" si="2"/>
        <v>-24</v>
      </c>
      <c r="E117" s="108" t="s">
        <v>2117</v>
      </c>
      <c r="H117" s="93" t="s">
        <v>2118</v>
      </c>
      <c r="I117" s="93" t="s">
        <v>2119</v>
      </c>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row>
    <row r="118" spans="1:48" s="93" customFormat="1" ht="16.5" customHeight="1">
      <c r="B118" s="99">
        <v>56.2483</v>
      </c>
      <c r="C118" s="110">
        <v>3</v>
      </c>
      <c r="D118" s="101">
        <f t="shared" si="2"/>
        <v>56.247999999999998</v>
      </c>
      <c r="E118" s="108" t="s">
        <v>2120</v>
      </c>
      <c r="H118" s="93">
        <v>-3</v>
      </c>
      <c r="I118" s="93" t="s">
        <v>2121</v>
      </c>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pans="1:48" s="93" customFormat="1" ht="16.5" customHeight="1">
      <c r="B119" s="99">
        <v>-56.2483</v>
      </c>
      <c r="C119" s="110">
        <v>3</v>
      </c>
      <c r="D119" s="101">
        <f t="shared" si="2"/>
        <v>-56.247999999999998</v>
      </c>
      <c r="E119" s="108" t="s">
        <v>2122</v>
      </c>
      <c r="H119" s="93">
        <v>-2</v>
      </c>
      <c r="I119" s="93" t="s">
        <v>2123</v>
      </c>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spans="1:48" s="93" customFormat="1" ht="16.5" customHeight="1">
      <c r="B120" s="99">
        <v>12.6</v>
      </c>
      <c r="C120" s="110">
        <v>2</v>
      </c>
      <c r="D120" s="101">
        <f t="shared" si="2"/>
        <v>12.6</v>
      </c>
      <c r="E120" s="108" t="s">
        <v>2124</v>
      </c>
      <c r="H120" s="93">
        <v>-1</v>
      </c>
      <c r="I120" s="93" t="s">
        <v>2125</v>
      </c>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1" spans="1:48" ht="16.5" customHeight="1">
      <c r="B121" s="99">
        <v>-12.6</v>
      </c>
      <c r="C121" s="110">
        <v>2</v>
      </c>
      <c r="D121" s="101">
        <f t="shared" si="2"/>
        <v>-12.6</v>
      </c>
      <c r="E121" s="108" t="s">
        <v>2126</v>
      </c>
      <c r="H121" s="93">
        <v>0</v>
      </c>
      <c r="I121" s="93" t="s">
        <v>2127</v>
      </c>
    </row>
    <row r="122" spans="1:48" ht="16.5" customHeight="1">
      <c r="B122" s="99">
        <v>398675</v>
      </c>
      <c r="C122" s="110">
        <v>2</v>
      </c>
      <c r="D122" s="101">
        <f t="shared" si="2"/>
        <v>398675</v>
      </c>
      <c r="E122" s="108" t="s">
        <v>2128</v>
      </c>
      <c r="H122" s="93">
        <v>1</v>
      </c>
      <c r="I122" s="93" t="s">
        <v>2129</v>
      </c>
    </row>
    <row r="123" spans="1:48" ht="16.5" customHeight="1">
      <c r="B123" s="99">
        <v>-398675</v>
      </c>
      <c r="C123" s="110">
        <v>-2</v>
      </c>
      <c r="D123" s="101">
        <f t="shared" si="2"/>
        <v>-398600</v>
      </c>
      <c r="E123" s="108" t="s">
        <v>2130</v>
      </c>
      <c r="H123" s="93">
        <v>2</v>
      </c>
      <c r="I123" s="93" t="s">
        <v>2131</v>
      </c>
    </row>
    <row r="124" spans="1:48" ht="16.5" customHeight="1">
      <c r="B124" s="99">
        <v>-398675.2365</v>
      </c>
      <c r="C124" s="297"/>
      <c r="D124" s="101">
        <f>TRUNC(B124)</f>
        <v>-398675</v>
      </c>
      <c r="E124" s="108" t="s">
        <v>2132</v>
      </c>
      <c r="H124" s="93">
        <v>3</v>
      </c>
      <c r="I124" s="93" t="s">
        <v>2133</v>
      </c>
    </row>
    <row r="125" spans="1:48" ht="16.5" customHeight="1">
      <c r="B125" s="105" t="s">
        <v>1904</v>
      </c>
      <c r="C125" s="113">
        <v>-3</v>
      </c>
      <c r="D125" s="107" t="e">
        <f>TRUNC(B125,C125)</f>
        <v>#VALUE!</v>
      </c>
      <c r="E125" s="108" t="s">
        <v>2134</v>
      </c>
    </row>
    <row r="126" spans="1:48" ht="16.5" customHeight="1">
      <c r="B126" s="93"/>
      <c r="C126" s="93"/>
      <c r="D126" s="93"/>
    </row>
    <row r="127" spans="1:48" ht="16.5" customHeight="1"/>
    <row r="128" spans="1:48" ht="16.5" customHeight="1">
      <c r="B128" s="4" t="s">
        <v>5947</v>
      </c>
    </row>
    <row r="129" spans="2:7" ht="16.5" customHeight="1"/>
    <row r="130" spans="2:7" ht="16.5" customHeight="1">
      <c r="B130" s="4" t="s">
        <v>2135</v>
      </c>
    </row>
    <row r="131" spans="2:7" ht="16.5" customHeight="1"/>
    <row r="132" spans="2:7" ht="16.5" customHeight="1">
      <c r="B132" s="4" t="s">
        <v>2136</v>
      </c>
    </row>
    <row r="133" spans="2:7" ht="16.5" customHeight="1">
      <c r="B133" s="612" t="s">
        <v>2137</v>
      </c>
      <c r="C133" s="612"/>
      <c r="D133" s="612"/>
    </row>
    <row r="134" spans="2:7" ht="16.5" customHeight="1">
      <c r="B134" s="610" t="s">
        <v>2138</v>
      </c>
      <c r="C134" s="611"/>
      <c r="D134" s="611"/>
      <c r="G134" s="18"/>
    </row>
    <row r="135" spans="2:7" ht="16.5" customHeight="1"/>
    <row r="136" spans="2:7" ht="16.5" customHeight="1">
      <c r="G136" s="18"/>
    </row>
    <row r="137" spans="2:7" ht="16.5" customHeight="1">
      <c r="B137" s="93"/>
      <c r="C137" s="93"/>
      <c r="D137" s="93"/>
    </row>
    <row r="195" spans="1:13">
      <c r="G195" s="18"/>
    </row>
    <row r="199" spans="1:13">
      <c r="G199" s="18"/>
    </row>
    <row r="200" spans="1:13" s="88" customFormat="1" ht="26.25" customHeight="1">
      <c r="A200" s="498" t="s">
        <v>120</v>
      </c>
      <c r="B200" s="498"/>
      <c r="C200" s="499"/>
      <c r="D200" s="87"/>
      <c r="E200" s="500" t="str">
        <f>HYPERLINK("#目录!A71","跳转回到目录页")</f>
        <v>跳转回到目录页</v>
      </c>
      <c r="F200" s="501"/>
    </row>
    <row r="201" spans="1:13" s="88" customFormat="1" ht="26.25" customHeight="1">
      <c r="A201" s="502" t="s">
        <v>1216</v>
      </c>
      <c r="B201" s="502"/>
      <c r="C201" s="503" t="s">
        <v>121</v>
      </c>
      <c r="D201" s="503"/>
      <c r="E201" s="503"/>
      <c r="F201" s="503"/>
      <c r="G201" s="503"/>
      <c r="H201" s="503"/>
      <c r="I201" s="503"/>
      <c r="J201" s="503"/>
      <c r="K201" s="503"/>
      <c r="L201" s="503"/>
      <c r="M201" s="503"/>
    </row>
    <row r="202" spans="1:13" s="88" customFormat="1" ht="16.5" customHeight="1">
      <c r="A202" s="496" t="s">
        <v>1217</v>
      </c>
      <c r="B202" s="496"/>
      <c r="C202" s="493" t="s">
        <v>2139</v>
      </c>
      <c r="D202" s="493"/>
      <c r="E202" s="493"/>
      <c r="F202" s="493"/>
      <c r="G202" s="493"/>
      <c r="H202" s="493"/>
      <c r="I202" s="493"/>
      <c r="J202" s="493"/>
      <c r="K202" s="493"/>
      <c r="L202" s="493"/>
      <c r="M202" s="493"/>
    </row>
    <row r="203" spans="1:13" s="88" customFormat="1" ht="16.5" customHeight="1">
      <c r="A203" s="496" t="s">
        <v>5786</v>
      </c>
      <c r="B203" s="496"/>
      <c r="C203" s="497" t="s">
        <v>5946</v>
      </c>
      <c r="D203" s="497"/>
      <c r="E203" s="497"/>
      <c r="F203" s="497"/>
      <c r="G203" s="497"/>
      <c r="H203" s="497"/>
      <c r="I203" s="497"/>
      <c r="J203" s="497"/>
      <c r="K203" s="497"/>
      <c r="L203" s="497"/>
      <c r="M203" s="497"/>
    </row>
    <row r="204" spans="1:13" s="88" customFormat="1" ht="16.5" customHeight="1">
      <c r="A204" s="496" t="s">
        <v>1220</v>
      </c>
      <c r="B204" s="496"/>
      <c r="C204" s="493" t="s">
        <v>2140</v>
      </c>
      <c r="D204" s="493"/>
      <c r="E204" s="493"/>
      <c r="F204" s="493"/>
      <c r="G204" s="493"/>
      <c r="H204" s="493"/>
      <c r="I204" s="493"/>
      <c r="J204" s="493"/>
      <c r="K204" s="493"/>
      <c r="L204" s="493"/>
      <c r="M204" s="493"/>
    </row>
    <row r="205" spans="1:13" s="88" customFormat="1" ht="16.5" customHeight="1">
      <c r="A205" s="496" t="s">
        <v>5785</v>
      </c>
      <c r="B205" s="496"/>
      <c r="C205" s="493" t="s">
        <v>2141</v>
      </c>
      <c r="D205" s="493"/>
      <c r="E205" s="493"/>
      <c r="F205" s="493"/>
      <c r="G205" s="493"/>
      <c r="H205" s="493"/>
      <c r="I205" s="493"/>
      <c r="J205" s="493"/>
      <c r="K205" s="493"/>
      <c r="L205" s="493"/>
      <c r="M205" s="493"/>
    </row>
    <row r="206" spans="1:13" s="88" customFormat="1" ht="16.5" customHeight="1">
      <c r="A206" s="89" t="s">
        <v>1223</v>
      </c>
      <c r="B206" s="92"/>
      <c r="C206" s="493" t="s">
        <v>2142</v>
      </c>
      <c r="D206" s="493"/>
      <c r="E206" s="493"/>
      <c r="F206" s="493"/>
      <c r="G206" s="493"/>
      <c r="H206" s="493"/>
      <c r="I206" s="493"/>
      <c r="J206" s="493"/>
      <c r="K206" s="493"/>
      <c r="L206" s="493"/>
      <c r="M206" s="493"/>
    </row>
    <row r="207" spans="1:13" s="88" customFormat="1" ht="16.5" customHeight="1">
      <c r="A207" s="89"/>
      <c r="B207" s="92"/>
      <c r="C207" s="493" t="s">
        <v>2143</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61.5" customHeight="1">
      <c r="A209" s="89" t="s">
        <v>1228</v>
      </c>
      <c r="B209" s="493" t="s">
        <v>2144</v>
      </c>
      <c r="C209" s="493"/>
      <c r="D209" s="493"/>
      <c r="E209" s="493"/>
      <c r="F209" s="493"/>
      <c r="G209" s="493"/>
      <c r="H209" s="493"/>
      <c r="I209" s="493"/>
      <c r="J209" s="493"/>
      <c r="K209" s="493"/>
      <c r="L209" s="493"/>
      <c r="M209" s="493"/>
    </row>
    <row r="210" spans="1:13" ht="16.5" customHeight="1">
      <c r="A210" s="89" t="s">
        <v>1229</v>
      </c>
      <c r="B210" s="493" t="s">
        <v>2113</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c r="B215" s="187" t="s">
        <v>2087</v>
      </c>
      <c r="C215" s="188" t="s">
        <v>2114</v>
      </c>
      <c r="D215" s="138" t="s">
        <v>1456</v>
      </c>
      <c r="E215" s="104" t="s">
        <v>1238</v>
      </c>
      <c r="F215" s="93"/>
      <c r="G215" s="93"/>
      <c r="H215" s="93"/>
      <c r="I215" s="93"/>
    </row>
    <row r="216" spans="1:13" ht="16.5" customHeight="1">
      <c r="B216" s="99">
        <v>24.6</v>
      </c>
      <c r="C216" s="110">
        <v>0</v>
      </c>
      <c r="D216" s="101">
        <f t="shared" ref="D216:D224" si="3">ROUNDDOWN(B216,C216)</f>
        <v>24</v>
      </c>
      <c r="E216" s="108" t="s">
        <v>2145</v>
      </c>
      <c r="F216" s="93"/>
      <c r="G216" s="93"/>
      <c r="H216" s="518" t="s">
        <v>2116</v>
      </c>
      <c r="I216" s="518"/>
    </row>
    <row r="217" spans="1:13" ht="16.5" customHeight="1">
      <c r="B217" s="99">
        <v>-24.6</v>
      </c>
      <c r="C217" s="110">
        <v>0</v>
      </c>
      <c r="D217" s="101">
        <f t="shared" si="3"/>
        <v>-24</v>
      </c>
      <c r="E217" s="108" t="s">
        <v>2146</v>
      </c>
      <c r="F217" s="93"/>
      <c r="G217" s="93"/>
      <c r="H217" s="93" t="s">
        <v>2118</v>
      </c>
      <c r="I217" s="93" t="s">
        <v>2119</v>
      </c>
    </row>
    <row r="218" spans="1:13" ht="16.5" customHeight="1">
      <c r="B218" s="99">
        <v>56.2483</v>
      </c>
      <c r="C218" s="110">
        <v>3</v>
      </c>
      <c r="D218" s="101">
        <f t="shared" si="3"/>
        <v>56.247999999999998</v>
      </c>
      <c r="E218" s="108" t="s">
        <v>2147</v>
      </c>
      <c r="F218" s="93"/>
      <c r="G218" s="93"/>
      <c r="H218" s="93">
        <v>-3</v>
      </c>
      <c r="I218" s="93" t="s">
        <v>2121</v>
      </c>
    </row>
    <row r="219" spans="1:13" ht="16.5" customHeight="1">
      <c r="B219" s="99">
        <v>-56.2483</v>
      </c>
      <c r="C219" s="110">
        <v>3</v>
      </c>
      <c r="D219" s="101">
        <f t="shared" si="3"/>
        <v>-56.247999999999998</v>
      </c>
      <c r="E219" s="108" t="s">
        <v>2148</v>
      </c>
      <c r="F219" s="93"/>
      <c r="G219" s="93"/>
      <c r="H219" s="93">
        <v>-2</v>
      </c>
      <c r="I219" s="93" t="s">
        <v>2123</v>
      </c>
    </row>
    <row r="220" spans="1:13" ht="16.5" customHeight="1">
      <c r="B220" s="99">
        <v>12.6</v>
      </c>
      <c r="C220" s="110">
        <v>2</v>
      </c>
      <c r="D220" s="101">
        <f t="shared" si="3"/>
        <v>12.6</v>
      </c>
      <c r="E220" s="108" t="s">
        <v>2149</v>
      </c>
      <c r="F220" s="93"/>
      <c r="G220" s="93"/>
      <c r="H220" s="93">
        <v>-1</v>
      </c>
      <c r="I220" s="93" t="s">
        <v>2125</v>
      </c>
    </row>
    <row r="221" spans="1:13" ht="16.5" customHeight="1">
      <c r="B221" s="99">
        <v>-12.6</v>
      </c>
      <c r="C221" s="110">
        <v>2</v>
      </c>
      <c r="D221" s="101">
        <f t="shared" si="3"/>
        <v>-12.6</v>
      </c>
      <c r="E221" s="108" t="s">
        <v>2150</v>
      </c>
      <c r="H221" s="93">
        <v>0</v>
      </c>
      <c r="I221" s="93" t="s">
        <v>2127</v>
      </c>
    </row>
    <row r="222" spans="1:13" ht="16.5" customHeight="1">
      <c r="B222" s="99">
        <v>398675</v>
      </c>
      <c r="C222" s="110">
        <v>2</v>
      </c>
      <c r="D222" s="101">
        <f t="shared" si="3"/>
        <v>398675</v>
      </c>
      <c r="E222" s="108" t="s">
        <v>2151</v>
      </c>
      <c r="H222" s="93">
        <v>1</v>
      </c>
      <c r="I222" s="93" t="s">
        <v>2129</v>
      </c>
    </row>
    <row r="223" spans="1:13" ht="16.5" customHeight="1">
      <c r="B223" s="99">
        <v>-398675</v>
      </c>
      <c r="C223" s="110">
        <v>-2</v>
      </c>
      <c r="D223" s="101">
        <f t="shared" si="3"/>
        <v>-398600</v>
      </c>
      <c r="E223" s="108" t="s">
        <v>2152</v>
      </c>
      <c r="H223" s="93">
        <v>2</v>
      </c>
      <c r="I223" s="93" t="s">
        <v>2131</v>
      </c>
    </row>
    <row r="224" spans="1:13" ht="16.5" customHeight="1">
      <c r="B224" s="105" t="s">
        <v>1904</v>
      </c>
      <c r="C224" s="113">
        <v>-3</v>
      </c>
      <c r="D224" s="107" t="e">
        <f t="shared" si="3"/>
        <v>#VALUE!</v>
      </c>
      <c r="E224" s="108" t="s">
        <v>2153</v>
      </c>
      <c r="H224" s="93">
        <v>3</v>
      </c>
      <c r="I224" s="93" t="s">
        <v>2133</v>
      </c>
    </row>
    <row r="225" spans="7:7" ht="16.5" customHeight="1"/>
    <row r="228" spans="7:7">
      <c r="G228" s="18"/>
    </row>
    <row r="230" spans="7:7">
      <c r="G230" s="18"/>
    </row>
    <row r="292" spans="1:13">
      <c r="G292" s="18"/>
    </row>
    <row r="293" spans="1:13">
      <c r="G293" s="189"/>
    </row>
    <row r="294" spans="1:13">
      <c r="G294" s="189"/>
    </row>
    <row r="295" spans="1:13">
      <c r="G295" s="189"/>
    </row>
    <row r="296" spans="1:13">
      <c r="G296" s="189"/>
    </row>
    <row r="297" spans="1:13">
      <c r="G297" s="189"/>
    </row>
    <row r="299" spans="1:13">
      <c r="G299" s="18"/>
    </row>
    <row r="300" spans="1:13" s="88" customFormat="1" ht="26.25" customHeight="1">
      <c r="A300" s="498" t="s">
        <v>122</v>
      </c>
      <c r="B300" s="498"/>
      <c r="C300" s="499"/>
      <c r="D300" s="87"/>
      <c r="E300" s="500" t="str">
        <f>HYPERLINK("#目录!A72","跳转回到目录页")</f>
        <v>跳转回到目录页</v>
      </c>
      <c r="F300" s="501"/>
    </row>
    <row r="301" spans="1:13" s="88" customFormat="1" ht="26.25" customHeight="1">
      <c r="A301" s="502" t="s">
        <v>1216</v>
      </c>
      <c r="B301" s="502"/>
      <c r="C301" s="503" t="s">
        <v>123</v>
      </c>
      <c r="D301" s="503"/>
      <c r="E301" s="503"/>
      <c r="F301" s="503"/>
      <c r="G301" s="503"/>
      <c r="H301" s="503"/>
      <c r="I301" s="503"/>
      <c r="J301" s="503"/>
      <c r="K301" s="503"/>
      <c r="L301" s="503"/>
      <c r="M301" s="503"/>
    </row>
    <row r="302" spans="1:13" s="88" customFormat="1" ht="16.5" customHeight="1">
      <c r="A302" s="496" t="s">
        <v>1217</v>
      </c>
      <c r="B302" s="496"/>
      <c r="C302" s="493" t="s">
        <v>2154</v>
      </c>
      <c r="D302" s="493"/>
      <c r="E302" s="493"/>
      <c r="F302" s="493"/>
      <c r="G302" s="493"/>
      <c r="H302" s="493"/>
      <c r="I302" s="493"/>
      <c r="J302" s="493"/>
      <c r="K302" s="493"/>
      <c r="L302" s="493"/>
      <c r="M302" s="493"/>
    </row>
    <row r="303" spans="1:13" s="88" customFormat="1" ht="16.5" customHeight="1">
      <c r="A303" s="496" t="s">
        <v>5786</v>
      </c>
      <c r="B303" s="496"/>
      <c r="C303" s="497" t="s">
        <v>5948</v>
      </c>
      <c r="D303" s="497"/>
      <c r="E303" s="497"/>
      <c r="F303" s="497"/>
      <c r="G303" s="497"/>
      <c r="H303" s="497"/>
      <c r="I303" s="497"/>
      <c r="J303" s="497"/>
      <c r="K303" s="497"/>
      <c r="L303" s="497"/>
      <c r="M303" s="497"/>
    </row>
    <row r="304" spans="1:13" s="88" customFormat="1" ht="16.5" customHeight="1">
      <c r="A304" s="496" t="s">
        <v>1220</v>
      </c>
      <c r="B304" s="496"/>
      <c r="C304" s="493" t="s">
        <v>2155</v>
      </c>
      <c r="D304" s="493"/>
      <c r="E304" s="493"/>
      <c r="F304" s="493"/>
      <c r="G304" s="493"/>
      <c r="H304" s="493"/>
      <c r="I304" s="493"/>
      <c r="J304" s="493"/>
      <c r="K304" s="493"/>
      <c r="L304" s="493"/>
      <c r="M304" s="493"/>
    </row>
    <row r="305" spans="1:13" s="88" customFormat="1" ht="16.5" customHeight="1">
      <c r="A305" s="496" t="s">
        <v>5785</v>
      </c>
      <c r="B305" s="496"/>
      <c r="C305" s="493" t="s">
        <v>2156</v>
      </c>
      <c r="D305" s="493"/>
      <c r="E305" s="493"/>
      <c r="F305" s="493"/>
      <c r="G305" s="493"/>
      <c r="H305" s="493"/>
      <c r="I305" s="493"/>
      <c r="J305" s="493"/>
      <c r="K305" s="493"/>
      <c r="L305" s="493"/>
      <c r="M305" s="493"/>
    </row>
    <row r="306" spans="1:13" s="88" customFormat="1" ht="16.5" customHeight="1">
      <c r="A306" s="89" t="s">
        <v>1223</v>
      </c>
      <c r="B306" s="92" t="s">
        <v>1576</v>
      </c>
      <c r="C306" s="493" t="s">
        <v>2157</v>
      </c>
      <c r="D306" s="493"/>
      <c r="E306" s="493"/>
      <c r="F306" s="493"/>
      <c r="G306" s="493"/>
      <c r="H306" s="493"/>
      <c r="I306" s="493"/>
      <c r="J306" s="493"/>
      <c r="K306" s="493"/>
      <c r="L306" s="493"/>
      <c r="M306" s="493"/>
    </row>
    <row r="307" spans="1:13" s="88" customFormat="1" ht="16.5" customHeight="1">
      <c r="A307" s="89"/>
      <c r="B307" s="92" t="s">
        <v>2110</v>
      </c>
      <c r="C307" s="493" t="s">
        <v>2158</v>
      </c>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48.75" customHeight="1">
      <c r="A309" s="89" t="s">
        <v>1228</v>
      </c>
      <c r="B309" s="493" t="s">
        <v>2159</v>
      </c>
      <c r="C309" s="493"/>
      <c r="D309" s="493"/>
      <c r="E309" s="493"/>
      <c r="F309" s="493"/>
      <c r="G309" s="493"/>
      <c r="H309" s="493"/>
      <c r="I309" s="493"/>
      <c r="J309" s="493"/>
      <c r="K309" s="493"/>
      <c r="L309" s="493"/>
      <c r="M309" s="493"/>
    </row>
    <row r="310" spans="1:13" ht="16.5" customHeight="1">
      <c r="A310" s="89" t="s">
        <v>1229</v>
      </c>
      <c r="B310" s="493" t="s">
        <v>2113</v>
      </c>
      <c r="C310" s="493"/>
      <c r="D310" s="493"/>
      <c r="E310" s="493"/>
      <c r="F310" s="493"/>
      <c r="G310" s="493"/>
      <c r="H310" s="493"/>
      <c r="I310" s="493"/>
      <c r="J310" s="493"/>
      <c r="K310" s="493"/>
      <c r="L310" s="493"/>
      <c r="M310" s="493"/>
    </row>
    <row r="311" spans="1:13" ht="21" customHeight="1">
      <c r="B311" s="494" t="s">
        <v>1231</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c r="B315" s="187" t="s">
        <v>2087</v>
      </c>
      <c r="C315" s="188" t="s">
        <v>2114</v>
      </c>
      <c r="D315" s="138" t="s">
        <v>1456</v>
      </c>
      <c r="E315" s="104" t="s">
        <v>1238</v>
      </c>
      <c r="F315" s="93"/>
      <c r="G315" s="93"/>
      <c r="H315" s="93"/>
      <c r="I315" s="93"/>
    </row>
    <row r="316" spans="1:13" ht="16.5" customHeight="1">
      <c r="B316" s="99">
        <v>24.6</v>
      </c>
      <c r="C316" s="110">
        <v>0</v>
      </c>
      <c r="D316" s="101">
        <f t="shared" ref="D316:D324" si="4">ROUNDUP(B316,C316)</f>
        <v>25</v>
      </c>
      <c r="E316" s="108" t="s">
        <v>2160</v>
      </c>
      <c r="F316" s="93"/>
      <c r="G316" s="93"/>
      <c r="H316" s="518" t="s">
        <v>2116</v>
      </c>
      <c r="I316" s="518"/>
    </row>
    <row r="317" spans="1:13" ht="16.5" customHeight="1">
      <c r="B317" s="99">
        <v>-24.6</v>
      </c>
      <c r="C317" s="110">
        <v>0</v>
      </c>
      <c r="D317" s="101">
        <f t="shared" si="4"/>
        <v>-25</v>
      </c>
      <c r="E317" s="108" t="s">
        <v>2161</v>
      </c>
      <c r="F317" s="93"/>
      <c r="G317" s="93"/>
      <c r="H317" s="93" t="s">
        <v>2118</v>
      </c>
      <c r="I317" s="93" t="s">
        <v>2119</v>
      </c>
    </row>
    <row r="318" spans="1:13" ht="16.5" customHeight="1">
      <c r="B318" s="99">
        <v>56.2483</v>
      </c>
      <c r="C318" s="110">
        <v>3</v>
      </c>
      <c r="D318" s="101">
        <f t="shared" si="4"/>
        <v>56.248999999999995</v>
      </c>
      <c r="E318" s="108" t="s">
        <v>2162</v>
      </c>
      <c r="F318" s="93"/>
      <c r="G318" s="93"/>
      <c r="H318" s="93">
        <v>-3</v>
      </c>
      <c r="I318" s="93" t="s">
        <v>2121</v>
      </c>
    </row>
    <row r="319" spans="1:13" ht="16.5" customHeight="1">
      <c r="B319" s="99">
        <v>-56.2483</v>
      </c>
      <c r="C319" s="110">
        <v>3</v>
      </c>
      <c r="D319" s="101">
        <f t="shared" si="4"/>
        <v>-56.248999999999995</v>
      </c>
      <c r="E319" s="108" t="s">
        <v>2163</v>
      </c>
      <c r="F319" s="93"/>
      <c r="G319" s="93"/>
      <c r="H319" s="93">
        <v>-2</v>
      </c>
      <c r="I319" s="93" t="s">
        <v>2123</v>
      </c>
    </row>
    <row r="320" spans="1:13" ht="16.5" customHeight="1">
      <c r="B320" s="99">
        <v>12.6</v>
      </c>
      <c r="C320" s="110">
        <v>2</v>
      </c>
      <c r="D320" s="101">
        <f t="shared" si="4"/>
        <v>12.6</v>
      </c>
      <c r="E320" s="108" t="s">
        <v>2164</v>
      </c>
      <c r="F320" s="93"/>
      <c r="G320" s="93"/>
      <c r="H320" s="93">
        <v>-1</v>
      </c>
      <c r="I320" s="93" t="s">
        <v>2125</v>
      </c>
    </row>
    <row r="321" spans="2:9" ht="16.5" customHeight="1">
      <c r="B321" s="99">
        <v>-12.6</v>
      </c>
      <c r="C321" s="110">
        <v>2</v>
      </c>
      <c r="D321" s="101">
        <f t="shared" si="4"/>
        <v>-12.6</v>
      </c>
      <c r="E321" s="108" t="s">
        <v>2165</v>
      </c>
      <c r="H321" s="93">
        <v>0</v>
      </c>
      <c r="I321" s="93" t="s">
        <v>2127</v>
      </c>
    </row>
    <row r="322" spans="2:9" ht="16.5" customHeight="1">
      <c r="B322" s="99">
        <v>398675</v>
      </c>
      <c r="C322" s="110">
        <v>2</v>
      </c>
      <c r="D322" s="101">
        <f t="shared" si="4"/>
        <v>398675</v>
      </c>
      <c r="E322" s="108" t="s">
        <v>2166</v>
      </c>
      <c r="H322" s="93">
        <v>1</v>
      </c>
      <c r="I322" s="93" t="s">
        <v>2129</v>
      </c>
    </row>
    <row r="323" spans="2:9" ht="16.5" customHeight="1">
      <c r="B323" s="99">
        <v>-398675</v>
      </c>
      <c r="C323" s="110">
        <v>-2</v>
      </c>
      <c r="D323" s="101">
        <f t="shared" si="4"/>
        <v>-398700</v>
      </c>
      <c r="E323" s="108" t="s">
        <v>2167</v>
      </c>
      <c r="H323" s="93">
        <v>2</v>
      </c>
      <c r="I323" s="93" t="s">
        <v>2131</v>
      </c>
    </row>
    <row r="324" spans="2:9" ht="16.5" customHeight="1">
      <c r="B324" s="105" t="s">
        <v>1904</v>
      </c>
      <c r="C324" s="113">
        <v>-3</v>
      </c>
      <c r="D324" s="107" t="e">
        <f t="shared" si="4"/>
        <v>#VALUE!</v>
      </c>
      <c r="E324" s="108" t="s">
        <v>2168</v>
      </c>
      <c r="H324" s="93">
        <v>3</v>
      </c>
      <c r="I324" s="93" t="s">
        <v>2133</v>
      </c>
    </row>
    <row r="325" spans="2:9" ht="16.5" customHeight="1"/>
    <row r="328" spans="2:9">
      <c r="G328" s="18"/>
    </row>
    <row r="330" spans="2:9">
      <c r="G330" s="18"/>
    </row>
    <row r="388" spans="1:7">
      <c r="G388" s="18"/>
    </row>
    <row r="389" spans="1:7">
      <c r="G389" s="189"/>
    </row>
    <row r="390" spans="1:7">
      <c r="G390" s="189"/>
    </row>
    <row r="391" spans="1:7">
      <c r="G391" s="189"/>
    </row>
    <row r="392" spans="1:7">
      <c r="G392" s="189"/>
    </row>
    <row r="393" spans="1:7">
      <c r="G393" s="189"/>
    </row>
    <row r="394" spans="1:7">
      <c r="G394" s="189"/>
    </row>
    <row r="395" spans="1:7">
      <c r="G395" s="189"/>
    </row>
    <row r="396" spans="1:7">
      <c r="G396" s="189"/>
    </row>
    <row r="400" spans="1:7" s="88" customFormat="1" ht="26.25" customHeight="1">
      <c r="A400" s="498" t="s">
        <v>124</v>
      </c>
      <c r="B400" s="498"/>
      <c r="C400" s="499"/>
      <c r="D400" s="87"/>
      <c r="E400" s="500" t="str">
        <f>HYPERLINK("#目录!A73","跳转回到目录页")</f>
        <v>跳转回到目录页</v>
      </c>
      <c r="F400" s="501"/>
    </row>
    <row r="401" spans="1:13" s="88" customFormat="1" ht="26.25" customHeight="1">
      <c r="A401" s="502" t="s">
        <v>1216</v>
      </c>
      <c r="B401" s="502"/>
      <c r="C401" s="503" t="s">
        <v>125</v>
      </c>
      <c r="D401" s="503"/>
      <c r="E401" s="503"/>
      <c r="F401" s="503"/>
      <c r="G401" s="503"/>
      <c r="H401" s="503"/>
      <c r="I401" s="503"/>
      <c r="J401" s="503"/>
      <c r="K401" s="503"/>
      <c r="L401" s="503"/>
      <c r="M401" s="503"/>
    </row>
    <row r="402" spans="1:13" s="88" customFormat="1" ht="16.5" customHeight="1">
      <c r="A402" s="496" t="s">
        <v>1217</v>
      </c>
      <c r="B402" s="496"/>
      <c r="C402" s="493" t="s">
        <v>2169</v>
      </c>
      <c r="D402" s="493"/>
      <c r="E402" s="493"/>
      <c r="F402" s="493"/>
      <c r="G402" s="493"/>
      <c r="H402" s="493"/>
      <c r="I402" s="493"/>
      <c r="J402" s="493"/>
      <c r="K402" s="493"/>
      <c r="L402" s="493"/>
      <c r="M402" s="493"/>
    </row>
    <row r="403" spans="1:13" s="88" customFormat="1" ht="16.5" customHeight="1">
      <c r="A403" s="496" t="s">
        <v>5786</v>
      </c>
      <c r="B403" s="496"/>
      <c r="C403" s="497" t="s">
        <v>2170</v>
      </c>
      <c r="D403" s="497"/>
      <c r="E403" s="497"/>
      <c r="F403" s="497"/>
      <c r="G403" s="497"/>
      <c r="H403" s="497"/>
      <c r="I403" s="497"/>
      <c r="J403" s="497"/>
      <c r="K403" s="497"/>
      <c r="L403" s="497"/>
      <c r="M403" s="497"/>
    </row>
    <row r="404" spans="1:13" s="88" customFormat="1" ht="16.5" customHeight="1">
      <c r="A404" s="496" t="s">
        <v>1220</v>
      </c>
      <c r="B404" s="496"/>
      <c r="C404" s="493" t="s">
        <v>2171</v>
      </c>
      <c r="D404" s="493"/>
      <c r="E404" s="493"/>
      <c r="F404" s="493"/>
      <c r="G404" s="493"/>
      <c r="H404" s="493"/>
      <c r="I404" s="493"/>
      <c r="J404" s="493"/>
      <c r="K404" s="493"/>
      <c r="L404" s="493"/>
      <c r="M404" s="493"/>
    </row>
    <row r="405" spans="1:13" s="88" customFormat="1" ht="16.5" customHeight="1">
      <c r="A405" s="496" t="s">
        <v>5785</v>
      </c>
      <c r="B405" s="496"/>
      <c r="C405" s="493" t="s">
        <v>2172</v>
      </c>
      <c r="D405" s="493"/>
      <c r="E405" s="493"/>
      <c r="F405" s="493"/>
      <c r="G405" s="493"/>
      <c r="H405" s="493"/>
      <c r="I405" s="493"/>
      <c r="J405" s="493"/>
      <c r="K405" s="493"/>
      <c r="L405" s="493"/>
      <c r="M405" s="493"/>
    </row>
    <row r="406" spans="1:13" s="88" customFormat="1" ht="16.5" customHeight="1">
      <c r="A406" s="89" t="s">
        <v>1223</v>
      </c>
      <c r="B406" s="92" t="s">
        <v>1576</v>
      </c>
      <c r="C406" s="493" t="s">
        <v>2142</v>
      </c>
      <c r="D406" s="493"/>
      <c r="E406" s="493"/>
      <c r="F406" s="493"/>
      <c r="G406" s="493"/>
      <c r="H406" s="493"/>
      <c r="I406" s="493"/>
      <c r="J406" s="493"/>
      <c r="K406" s="493"/>
      <c r="L406" s="493"/>
      <c r="M406" s="493"/>
    </row>
    <row r="407" spans="1:13" s="88" customFormat="1" ht="16.5" customHeight="1">
      <c r="A407" s="89"/>
      <c r="B407" s="92" t="s">
        <v>2110</v>
      </c>
      <c r="C407" s="493" t="s">
        <v>2173</v>
      </c>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36" customHeight="1">
      <c r="A409" s="89" t="s">
        <v>1228</v>
      </c>
      <c r="B409" s="493" t="s">
        <v>2174</v>
      </c>
      <c r="C409" s="493"/>
      <c r="D409" s="493"/>
      <c r="E409" s="493"/>
      <c r="F409" s="493"/>
      <c r="G409" s="493"/>
      <c r="H409" s="493"/>
      <c r="I409" s="493"/>
      <c r="J409" s="493"/>
      <c r="K409" s="493"/>
      <c r="L409" s="493"/>
      <c r="M409" s="493"/>
    </row>
    <row r="410" spans="1:13" ht="16.5" customHeight="1">
      <c r="A410" s="89" t="s">
        <v>1229</v>
      </c>
      <c r="B410" s="493" t="s">
        <v>2113</v>
      </c>
      <c r="C410" s="493"/>
      <c r="D410" s="493"/>
      <c r="E410" s="493"/>
      <c r="F410" s="493"/>
      <c r="G410" s="493"/>
      <c r="H410" s="493"/>
      <c r="I410" s="493"/>
      <c r="J410" s="493"/>
      <c r="K410" s="493"/>
      <c r="L410" s="493"/>
      <c r="M410" s="493"/>
    </row>
    <row r="411" spans="1:13" ht="21" customHeight="1">
      <c r="B411" s="494" t="s">
        <v>1231</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4" spans="1:13" ht="16.5" customHeight="1"/>
    <row r="415" spans="1:13" ht="16.5" customHeight="1">
      <c r="B415" s="187" t="s">
        <v>2087</v>
      </c>
      <c r="C415" s="188" t="s">
        <v>2114</v>
      </c>
      <c r="D415" s="138" t="s">
        <v>1456</v>
      </c>
      <c r="E415" s="104" t="s">
        <v>1238</v>
      </c>
      <c r="F415" s="93"/>
      <c r="G415" s="93"/>
      <c r="H415" s="93"/>
      <c r="I415" s="93"/>
    </row>
    <row r="416" spans="1:13" ht="16.5" customHeight="1">
      <c r="B416" s="99">
        <v>24.6</v>
      </c>
      <c r="C416" s="110">
        <v>0</v>
      </c>
      <c r="D416" s="101">
        <f t="shared" ref="D416:D424" si="5">ROUND(B416,C416)</f>
        <v>25</v>
      </c>
      <c r="E416" s="108" t="s">
        <v>2175</v>
      </c>
      <c r="F416" s="93"/>
      <c r="G416" s="93"/>
      <c r="H416" s="518" t="s">
        <v>2116</v>
      </c>
      <c r="I416" s="518"/>
    </row>
    <row r="417" spans="1:12" ht="16.5" customHeight="1">
      <c r="B417" s="99">
        <v>-24.7</v>
      </c>
      <c r="C417" s="110">
        <v>0</v>
      </c>
      <c r="D417" s="101">
        <f t="shared" si="5"/>
        <v>-25</v>
      </c>
      <c r="E417" s="108" t="s">
        <v>2176</v>
      </c>
      <c r="F417" s="93"/>
      <c r="G417" s="93"/>
      <c r="H417" s="93" t="s">
        <v>2118</v>
      </c>
      <c r="I417" s="93" t="s">
        <v>2119</v>
      </c>
    </row>
    <row r="418" spans="1:12" ht="16.5" customHeight="1">
      <c r="B418" s="99">
        <v>56.2483</v>
      </c>
      <c r="C418" s="110">
        <v>3</v>
      </c>
      <c r="D418" s="101">
        <f t="shared" si="5"/>
        <v>56.247999999999998</v>
      </c>
      <c r="E418" s="108" t="s">
        <v>2177</v>
      </c>
      <c r="F418" s="93"/>
      <c r="G418" s="93"/>
      <c r="H418" s="93">
        <v>-3</v>
      </c>
      <c r="I418" s="93" t="s">
        <v>2121</v>
      </c>
    </row>
    <row r="419" spans="1:12" ht="16.5" customHeight="1">
      <c r="B419" s="99">
        <v>-56.2483</v>
      </c>
      <c r="C419" s="110">
        <v>3</v>
      </c>
      <c r="D419" s="101">
        <f t="shared" si="5"/>
        <v>-56.247999999999998</v>
      </c>
      <c r="E419" s="108" t="s">
        <v>2178</v>
      </c>
      <c r="F419" s="93"/>
      <c r="G419" s="93"/>
      <c r="H419" s="93">
        <v>-2</v>
      </c>
      <c r="I419" s="93" t="s">
        <v>2123</v>
      </c>
    </row>
    <row r="420" spans="1:12" ht="16.5" customHeight="1">
      <c r="B420" s="99">
        <v>12.6</v>
      </c>
      <c r="C420" s="110">
        <v>2</v>
      </c>
      <c r="D420" s="101">
        <f t="shared" si="5"/>
        <v>12.6</v>
      </c>
      <c r="E420" s="108" t="s">
        <v>2179</v>
      </c>
      <c r="F420" s="93"/>
      <c r="G420" s="93"/>
      <c r="H420" s="93">
        <v>-1</v>
      </c>
      <c r="I420" s="93" t="s">
        <v>2125</v>
      </c>
    </row>
    <row r="421" spans="1:12" ht="16.5" customHeight="1">
      <c r="B421" s="99">
        <v>-12.6</v>
      </c>
      <c r="C421" s="110">
        <v>2</v>
      </c>
      <c r="D421" s="101">
        <f t="shared" si="5"/>
        <v>-12.6</v>
      </c>
      <c r="E421" s="108" t="s">
        <v>2180</v>
      </c>
      <c r="H421" s="93">
        <v>0</v>
      </c>
      <c r="I421" s="93" t="s">
        <v>2127</v>
      </c>
    </row>
    <row r="422" spans="1:12" ht="16.5" customHeight="1">
      <c r="B422" s="99">
        <v>398675</v>
      </c>
      <c r="C422" s="110">
        <v>2</v>
      </c>
      <c r="D422" s="101">
        <f t="shared" si="5"/>
        <v>398675</v>
      </c>
      <c r="E422" s="108" t="s">
        <v>2181</v>
      </c>
      <c r="H422" s="93">
        <v>1</v>
      </c>
      <c r="I422" s="93" t="s">
        <v>2129</v>
      </c>
    </row>
    <row r="423" spans="1:12" ht="16.5" customHeight="1">
      <c r="B423" s="99">
        <v>-398675</v>
      </c>
      <c r="C423" s="110">
        <v>-2</v>
      </c>
      <c r="D423" s="101">
        <f t="shared" si="5"/>
        <v>-398700</v>
      </c>
      <c r="E423" s="108" t="s">
        <v>2182</v>
      </c>
      <c r="H423" s="93">
        <v>2</v>
      </c>
      <c r="I423" s="93" t="s">
        <v>2131</v>
      </c>
    </row>
    <row r="424" spans="1:12" ht="16.5" customHeight="1">
      <c r="B424" s="105" t="s">
        <v>1904</v>
      </c>
      <c r="C424" s="113">
        <v>-3</v>
      </c>
      <c r="D424" s="107" t="e">
        <f t="shared" si="5"/>
        <v>#VALUE!</v>
      </c>
      <c r="E424" s="108" t="s">
        <v>2183</v>
      </c>
      <c r="H424" s="93">
        <v>3</v>
      </c>
      <c r="I424" s="93" t="s">
        <v>2133</v>
      </c>
    </row>
    <row r="425" spans="1:12" ht="16.5" customHeight="1"/>
    <row r="426" spans="1:12" ht="16.5" customHeight="1"/>
    <row r="427" spans="1:12" ht="16.5" customHeight="1">
      <c r="E427" s="93"/>
    </row>
    <row r="428" spans="1:12" ht="16.5" customHeight="1">
      <c r="A428" s="94" t="s">
        <v>1244</v>
      </c>
      <c r="B428" s="93" t="s">
        <v>2184</v>
      </c>
      <c r="C428" s="93"/>
      <c r="D428" s="93"/>
      <c r="E428" s="93"/>
      <c r="F428" s="93"/>
      <c r="G428" s="93"/>
      <c r="H428" s="93"/>
      <c r="I428" s="93"/>
      <c r="J428" s="93"/>
      <c r="K428" s="93"/>
      <c r="L428" s="93"/>
    </row>
    <row r="429" spans="1:12" ht="16.5" customHeight="1">
      <c r="B429" s="143" t="s">
        <v>2185</v>
      </c>
      <c r="C429" s="93"/>
      <c r="D429" s="93"/>
      <c r="E429" s="93"/>
      <c r="F429" s="93"/>
      <c r="G429" s="170"/>
      <c r="H429" s="93"/>
      <c r="I429" s="93"/>
      <c r="J429" s="93"/>
      <c r="K429" s="93"/>
      <c r="L429" s="93"/>
    </row>
    <row r="430" spans="1:12" ht="16.5" customHeight="1">
      <c r="B430" s="93"/>
      <c r="C430" s="93"/>
      <c r="D430" s="93"/>
      <c r="E430" s="93"/>
      <c r="F430" s="93"/>
      <c r="G430" s="93"/>
      <c r="H430" s="93"/>
      <c r="I430" s="93"/>
      <c r="J430" s="93"/>
      <c r="K430" s="93"/>
      <c r="L430" s="93"/>
    </row>
    <row r="431" spans="1:12" ht="16.5" customHeight="1">
      <c r="B431" s="93" t="s">
        <v>2186</v>
      </c>
      <c r="C431" s="93"/>
      <c r="D431" s="93"/>
      <c r="E431" s="93"/>
      <c r="F431" s="93"/>
      <c r="G431" s="170"/>
      <c r="H431" s="93"/>
      <c r="I431" s="93"/>
      <c r="J431" s="93"/>
      <c r="K431" s="93"/>
      <c r="L431" s="93"/>
    </row>
    <row r="432" spans="1:12" ht="16.5" customHeight="1">
      <c r="B432" s="93" t="s">
        <v>2187</v>
      </c>
      <c r="C432" s="93"/>
      <c r="D432" s="93"/>
      <c r="E432" s="93"/>
      <c r="F432" s="93"/>
      <c r="G432" s="93"/>
      <c r="H432" s="93"/>
      <c r="I432" s="93"/>
      <c r="J432" s="93"/>
      <c r="K432" s="93"/>
      <c r="L432" s="93"/>
    </row>
    <row r="433" spans="2:12" ht="16.5" customHeight="1">
      <c r="B433" s="93" t="s">
        <v>2188</v>
      </c>
      <c r="C433" s="93"/>
      <c r="D433" s="93"/>
      <c r="E433" s="93"/>
      <c r="F433" s="93"/>
      <c r="G433" s="93"/>
      <c r="H433" s="93"/>
      <c r="I433" s="93"/>
      <c r="J433" s="93"/>
      <c r="K433" s="93"/>
      <c r="L433" s="93"/>
    </row>
    <row r="434" spans="2:12" ht="16.5" customHeight="1">
      <c r="B434" s="93" t="s">
        <v>2189</v>
      </c>
      <c r="C434" s="93"/>
      <c r="D434" s="93"/>
      <c r="E434" s="93"/>
      <c r="F434" s="93"/>
      <c r="G434" s="93"/>
      <c r="H434" s="93"/>
      <c r="I434" s="93"/>
      <c r="J434" s="93"/>
      <c r="K434" s="93"/>
      <c r="L434" s="93"/>
    </row>
    <row r="435" spans="2:12" ht="16.5" customHeight="1">
      <c r="B435" s="93" t="s">
        <v>2190</v>
      </c>
      <c r="C435" s="93"/>
      <c r="D435" s="93"/>
      <c r="E435" s="93"/>
      <c r="F435" s="93"/>
      <c r="G435" s="93"/>
      <c r="H435" s="93"/>
      <c r="I435" s="93"/>
      <c r="J435" s="93"/>
      <c r="K435" s="93"/>
      <c r="L435" s="93"/>
    </row>
    <row r="436" spans="2:12" ht="16.5" customHeight="1">
      <c r="B436" s="93" t="e">
        <f>ROUND(B416:B423,2)</f>
        <v>#VALUE!</v>
      </c>
      <c r="C436" s="93" t="s">
        <v>2191</v>
      </c>
      <c r="D436" s="93"/>
      <c r="E436" s="93"/>
      <c r="G436" s="93"/>
      <c r="H436" s="93"/>
      <c r="I436" s="93"/>
      <c r="J436" s="93"/>
      <c r="K436" s="93"/>
      <c r="L436" s="93"/>
    </row>
    <row r="437" spans="2:12" ht="16.5" customHeight="1">
      <c r="B437" s="93" t="s">
        <v>2192</v>
      </c>
      <c r="C437" s="93"/>
      <c r="D437" s="93"/>
      <c r="E437" s="93"/>
      <c r="F437" s="93"/>
      <c r="G437" s="170"/>
      <c r="H437" s="93"/>
      <c r="I437" s="93"/>
      <c r="J437" s="93"/>
      <c r="K437" s="93"/>
      <c r="L437" s="93"/>
    </row>
    <row r="438" spans="2:12" ht="16.5" customHeight="1">
      <c r="B438" s="240" t="s">
        <v>2193</v>
      </c>
      <c r="C438" s="93"/>
      <c r="D438" s="93"/>
      <c r="E438" s="93"/>
      <c r="F438" s="93"/>
      <c r="G438" s="161"/>
      <c r="H438" s="93"/>
      <c r="I438" s="93"/>
      <c r="J438" s="93"/>
      <c r="K438" s="93"/>
      <c r="L438" s="93"/>
    </row>
    <row r="439" spans="2:12" ht="16.5" customHeight="1">
      <c r="B439" s="93" t="s">
        <v>2194</v>
      </c>
      <c r="F439" s="93"/>
      <c r="G439" s="161"/>
      <c r="H439" s="93"/>
      <c r="I439" s="93"/>
      <c r="J439" s="93"/>
      <c r="K439" s="93"/>
      <c r="L439" s="93"/>
    </row>
    <row r="440" spans="2:12" ht="16.5" customHeight="1">
      <c r="C440" s="104" t="s">
        <v>1238</v>
      </c>
      <c r="F440" s="93"/>
      <c r="G440" s="161"/>
      <c r="H440" s="93"/>
      <c r="I440" s="93"/>
      <c r="J440" s="93"/>
      <c r="K440" s="93"/>
      <c r="L440" s="93"/>
    </row>
    <row r="441" spans="2:12" ht="16.5" customHeight="1">
      <c r="B441" s="93">
        <f>SUM({24.6;-24.7;56.25;-56.25;12.6;-12.6;398675;-398675})</f>
        <v>-9.9999999976716936E-2</v>
      </c>
      <c r="C441" s="108" t="s">
        <v>2195</v>
      </c>
      <c r="F441" s="93"/>
      <c r="G441" s="161"/>
      <c r="H441" s="93"/>
      <c r="I441" s="93"/>
      <c r="J441" s="93"/>
      <c r="K441" s="93"/>
      <c r="L441" s="93"/>
    </row>
    <row r="442" spans="2:12" ht="16.5" customHeight="1">
      <c r="B442" s="93" t="s">
        <v>2196</v>
      </c>
      <c r="F442" s="93"/>
      <c r="G442" s="93"/>
      <c r="H442" s="93"/>
      <c r="I442" s="93"/>
      <c r="J442" s="93"/>
      <c r="K442" s="93"/>
      <c r="L442" s="93"/>
    </row>
    <row r="443" spans="2:12" ht="16.5" customHeight="1">
      <c r="B443" s="93"/>
      <c r="C443" s="104" t="s">
        <v>1238</v>
      </c>
      <c r="D443" s="93"/>
      <c r="E443" s="93"/>
      <c r="G443" s="18"/>
    </row>
    <row r="444" spans="2:12" ht="16.5" customHeight="1">
      <c r="B444" s="93">
        <f t="array" ref="B444">SUM(ROUND(B416:B423,2))</f>
        <v>-9.9999999976716936E-2</v>
      </c>
      <c r="C444" s="108" t="s">
        <v>2197</v>
      </c>
      <c r="D444" s="93"/>
      <c r="E444" s="93"/>
    </row>
    <row r="445" spans="2:12" ht="16.5" customHeight="1">
      <c r="B445" s="93"/>
      <c r="C445" s="158"/>
      <c r="D445" s="93"/>
      <c r="E445" s="93"/>
    </row>
    <row r="446" spans="2:12" ht="16.5" customHeight="1">
      <c r="B446" s="93"/>
      <c r="C446" s="158"/>
      <c r="D446" s="93"/>
      <c r="E446" s="93"/>
    </row>
    <row r="447" spans="2:12" ht="14.25" customHeight="1">
      <c r="B447" s="93"/>
      <c r="C447" s="158"/>
      <c r="D447" s="93"/>
      <c r="E447" s="93"/>
    </row>
    <row r="448" spans="2:12" ht="14.25" customHeight="1">
      <c r="B448" s="93"/>
      <c r="C448" s="158"/>
      <c r="D448" s="93"/>
      <c r="E448" s="93"/>
    </row>
    <row r="449" spans="2:5" ht="14.25" customHeight="1">
      <c r="B449" s="93"/>
      <c r="C449" s="158"/>
      <c r="D449" s="93"/>
      <c r="E449" s="93"/>
    </row>
    <row r="450" spans="2:5" ht="14.25" customHeight="1">
      <c r="B450" s="93"/>
      <c r="C450" s="158"/>
      <c r="D450" s="93"/>
      <c r="E450" s="93"/>
    </row>
    <row r="451" spans="2:5" ht="14.25" customHeight="1">
      <c r="B451" s="93"/>
      <c r="C451" s="158"/>
      <c r="D451" s="93"/>
      <c r="E451" s="93"/>
    </row>
    <row r="452" spans="2:5" ht="14.25" customHeight="1">
      <c r="B452" s="93"/>
      <c r="C452" s="158"/>
      <c r="D452" s="93"/>
      <c r="E452" s="93"/>
    </row>
    <row r="453" spans="2:5" ht="14.25" customHeight="1">
      <c r="B453" s="93"/>
      <c r="C453" s="158"/>
      <c r="D453" s="93"/>
      <c r="E453" s="93"/>
    </row>
    <row r="454" spans="2:5" ht="14.25" customHeight="1">
      <c r="B454" s="93"/>
      <c r="C454" s="158"/>
      <c r="D454" s="93"/>
      <c r="E454" s="93"/>
    </row>
    <row r="455" spans="2:5" ht="14.25" customHeight="1">
      <c r="B455" s="93"/>
      <c r="C455" s="158"/>
      <c r="D455" s="93"/>
      <c r="E455" s="93"/>
    </row>
    <row r="456" spans="2:5" ht="14.25" customHeight="1">
      <c r="B456" s="93"/>
      <c r="C456" s="158"/>
      <c r="D456" s="93"/>
      <c r="E456" s="93"/>
    </row>
    <row r="457" spans="2:5" ht="14.25" customHeight="1">
      <c r="B457" s="93"/>
      <c r="C457" s="158"/>
      <c r="D457" s="93"/>
      <c r="E457" s="93"/>
    </row>
    <row r="458" spans="2:5" ht="14.25" customHeight="1">
      <c r="B458" s="93"/>
      <c r="C458" s="158"/>
      <c r="D458" s="93"/>
      <c r="E458" s="93"/>
    </row>
    <row r="459" spans="2:5" ht="14.25" customHeight="1">
      <c r="B459" s="93"/>
      <c r="C459" s="158"/>
      <c r="D459" s="93"/>
      <c r="E459" s="93"/>
    </row>
    <row r="460" spans="2:5" ht="14.25" customHeight="1">
      <c r="B460" s="93"/>
      <c r="C460" s="158"/>
      <c r="D460" s="93"/>
      <c r="E460" s="93"/>
    </row>
    <row r="461" spans="2:5" ht="14.25" customHeight="1">
      <c r="B461" s="93"/>
      <c r="C461" s="158"/>
      <c r="D461" s="93"/>
      <c r="E461" s="93"/>
    </row>
    <row r="462" spans="2:5" ht="14.25" customHeight="1">
      <c r="B462" s="93"/>
      <c r="C462" s="158"/>
      <c r="D462" s="93"/>
      <c r="E462" s="93"/>
    </row>
    <row r="463" spans="2:5" ht="14.25" customHeight="1">
      <c r="B463" s="93"/>
      <c r="C463" s="158"/>
      <c r="D463" s="93"/>
      <c r="E463" s="93"/>
    </row>
    <row r="464" spans="2:5" ht="14.25" customHeight="1">
      <c r="B464" s="93"/>
      <c r="C464" s="158"/>
      <c r="D464" s="93"/>
      <c r="E464" s="93"/>
    </row>
    <row r="465" spans="2:5" ht="14.25" customHeight="1">
      <c r="B465" s="93"/>
      <c r="C465" s="158"/>
      <c r="D465" s="93"/>
      <c r="E465" s="93"/>
    </row>
    <row r="466" spans="2:5" ht="14.25" customHeight="1">
      <c r="B466" s="93"/>
      <c r="C466" s="158"/>
      <c r="D466" s="93"/>
      <c r="E466" s="93"/>
    </row>
    <row r="467" spans="2:5" ht="14.25" customHeight="1">
      <c r="B467" s="93"/>
      <c r="C467" s="158"/>
      <c r="D467" s="93"/>
      <c r="E467" s="93"/>
    </row>
    <row r="468" spans="2:5" ht="14.25" customHeight="1">
      <c r="B468" s="93"/>
      <c r="C468" s="158"/>
      <c r="D468" s="93"/>
      <c r="E468" s="93"/>
    </row>
    <row r="469" spans="2:5" ht="14.25" customHeight="1">
      <c r="B469" s="93"/>
      <c r="C469" s="158"/>
      <c r="D469" s="93"/>
      <c r="E469" s="93"/>
    </row>
    <row r="470" spans="2:5" ht="14.25" customHeight="1">
      <c r="B470" s="93"/>
      <c r="C470" s="158"/>
      <c r="D470" s="93"/>
      <c r="E470" s="93"/>
    </row>
    <row r="471" spans="2:5" ht="14.25" customHeight="1">
      <c r="B471" s="93"/>
      <c r="C471" s="158"/>
      <c r="D471" s="93"/>
      <c r="E471" s="93"/>
    </row>
    <row r="472" spans="2:5" ht="14.25" customHeight="1">
      <c r="B472" s="93"/>
      <c r="C472" s="158"/>
      <c r="D472" s="93"/>
      <c r="E472" s="93"/>
    </row>
    <row r="473" spans="2:5" ht="14.25" customHeight="1">
      <c r="B473" s="93"/>
      <c r="C473" s="158"/>
      <c r="D473" s="93"/>
      <c r="E473" s="93"/>
    </row>
    <row r="474" spans="2:5" ht="14.25" customHeight="1">
      <c r="B474" s="93"/>
      <c r="C474" s="158"/>
      <c r="D474" s="93"/>
      <c r="E474" s="93"/>
    </row>
    <row r="475" spans="2:5" ht="14.25" customHeight="1">
      <c r="B475" s="93"/>
      <c r="C475" s="158"/>
      <c r="D475" s="93"/>
      <c r="E475" s="93"/>
    </row>
    <row r="476" spans="2:5" ht="14.25" customHeight="1">
      <c r="B476" s="93"/>
      <c r="C476" s="158"/>
      <c r="D476" s="93"/>
      <c r="E476" s="93"/>
    </row>
    <row r="477" spans="2:5" ht="14.25" customHeight="1">
      <c r="B477" s="93"/>
      <c r="C477" s="158"/>
      <c r="D477" s="93"/>
      <c r="E477" s="93"/>
    </row>
    <row r="478" spans="2:5" ht="14.25" customHeight="1">
      <c r="B478" s="93"/>
      <c r="C478" s="158"/>
      <c r="D478" s="93"/>
      <c r="E478" s="93"/>
    </row>
    <row r="479" spans="2:5" ht="14.25" customHeight="1">
      <c r="B479" s="93"/>
      <c r="C479" s="158"/>
      <c r="D479" s="93"/>
      <c r="E479" s="93"/>
    </row>
    <row r="480" spans="2:5" ht="14.25" customHeight="1">
      <c r="B480" s="93"/>
      <c r="C480" s="158"/>
      <c r="D480" s="93"/>
      <c r="E480" s="93"/>
    </row>
    <row r="481" spans="2:5" ht="14.25" customHeight="1">
      <c r="B481" s="93"/>
      <c r="C481" s="158"/>
      <c r="D481" s="93"/>
      <c r="E481" s="93"/>
    </row>
    <row r="482" spans="2:5" ht="14.25" customHeight="1">
      <c r="B482" s="93"/>
      <c r="C482" s="158"/>
      <c r="D482" s="93"/>
      <c r="E482" s="93"/>
    </row>
    <row r="483" spans="2:5" ht="14.25" customHeight="1">
      <c r="B483" s="93"/>
      <c r="C483" s="158"/>
      <c r="D483" s="93"/>
      <c r="E483" s="93"/>
    </row>
    <row r="484" spans="2:5" ht="14.25" customHeight="1">
      <c r="B484" s="93"/>
      <c r="C484" s="158"/>
      <c r="D484" s="93"/>
      <c r="E484" s="93"/>
    </row>
    <row r="485" spans="2:5" ht="14.25" customHeight="1">
      <c r="B485" s="93"/>
      <c r="C485" s="158"/>
      <c r="D485" s="93"/>
      <c r="E485" s="93"/>
    </row>
    <row r="486" spans="2:5" ht="14.25" customHeight="1">
      <c r="B486" s="93"/>
      <c r="C486" s="158"/>
      <c r="D486" s="93"/>
      <c r="E486" s="93"/>
    </row>
    <row r="487" spans="2:5" ht="14.25" customHeight="1">
      <c r="B487" s="93"/>
      <c r="C487" s="158"/>
      <c r="D487" s="93"/>
      <c r="E487" s="93"/>
    </row>
    <row r="488" spans="2:5" ht="14.25" customHeight="1">
      <c r="B488" s="93"/>
      <c r="C488" s="158"/>
      <c r="D488" s="93"/>
      <c r="E488" s="93"/>
    </row>
    <row r="489" spans="2:5" ht="14.25" customHeight="1">
      <c r="B489" s="93"/>
      <c r="C489" s="158"/>
      <c r="D489" s="93"/>
      <c r="E489" s="93"/>
    </row>
    <row r="490" spans="2:5" ht="14.25" customHeight="1">
      <c r="B490" s="93"/>
      <c r="C490" s="158"/>
      <c r="D490" s="93"/>
      <c r="E490" s="93"/>
    </row>
    <row r="491" spans="2:5" ht="14.25" customHeight="1">
      <c r="B491" s="93"/>
      <c r="C491" s="158"/>
      <c r="D491" s="93"/>
      <c r="E491" s="93"/>
    </row>
    <row r="492" spans="2:5" ht="14.25" customHeight="1">
      <c r="B492" s="93"/>
      <c r="C492" s="158"/>
      <c r="D492" s="93"/>
      <c r="E492" s="93"/>
    </row>
    <row r="493" spans="2:5" ht="14.25" customHeight="1">
      <c r="D493" s="93"/>
      <c r="E493" s="93"/>
    </row>
    <row r="494" spans="2:5" ht="14.25" customHeight="1">
      <c r="B494" s="93"/>
      <c r="C494" s="93"/>
      <c r="D494" s="93"/>
      <c r="E494" s="93"/>
    </row>
    <row r="495" spans="2:5" ht="14.25" customHeight="1">
      <c r="B495" s="93"/>
      <c r="C495" s="93"/>
      <c r="D495" s="93"/>
      <c r="E495" s="93"/>
    </row>
    <row r="496" spans="2:5" ht="14.25" customHeight="1">
      <c r="B496" s="93"/>
      <c r="C496" s="93"/>
      <c r="D496" s="93"/>
      <c r="E496" s="93"/>
    </row>
    <row r="497" spans="1:13" ht="14.25" customHeight="1"/>
    <row r="500" spans="1:13" s="88" customFormat="1" ht="26.25" customHeight="1">
      <c r="A500" s="498" t="s">
        <v>126</v>
      </c>
      <c r="B500" s="498"/>
      <c r="C500" s="499"/>
      <c r="D500" s="87"/>
      <c r="E500" s="500" t="str">
        <f>HYPERLINK("#目录!A74","跳转回到目录页")</f>
        <v>跳转回到目录页</v>
      </c>
      <c r="F500" s="501"/>
    </row>
    <row r="501" spans="1:13" s="88" customFormat="1" ht="26.25" customHeight="1">
      <c r="A501" s="502" t="s">
        <v>1216</v>
      </c>
      <c r="B501" s="502"/>
      <c r="C501" s="503" t="s">
        <v>127</v>
      </c>
      <c r="D501" s="503"/>
      <c r="E501" s="503"/>
      <c r="F501" s="503"/>
      <c r="G501" s="503"/>
      <c r="H501" s="503"/>
      <c r="I501" s="503"/>
      <c r="J501" s="503"/>
      <c r="K501" s="503"/>
      <c r="L501" s="503"/>
      <c r="M501" s="503"/>
    </row>
    <row r="502" spans="1:13" s="88" customFormat="1" ht="16.5" customHeight="1">
      <c r="A502" s="496" t="s">
        <v>1217</v>
      </c>
      <c r="B502" s="496"/>
      <c r="C502" s="493" t="s">
        <v>127</v>
      </c>
      <c r="D502" s="493"/>
      <c r="E502" s="493"/>
      <c r="F502" s="493"/>
      <c r="G502" s="493"/>
      <c r="H502" s="493"/>
      <c r="I502" s="493"/>
      <c r="J502" s="493"/>
      <c r="K502" s="493"/>
      <c r="L502" s="493"/>
      <c r="M502" s="493"/>
    </row>
    <row r="503" spans="1:13" s="88" customFormat="1" ht="16.5" customHeight="1">
      <c r="A503" s="496" t="s">
        <v>5786</v>
      </c>
      <c r="B503" s="496"/>
      <c r="C503" s="497" t="s">
        <v>2170</v>
      </c>
      <c r="D503" s="497"/>
      <c r="E503" s="497"/>
      <c r="F503" s="497"/>
      <c r="G503" s="497"/>
      <c r="H503" s="497"/>
      <c r="I503" s="497"/>
      <c r="J503" s="497"/>
      <c r="K503" s="497"/>
      <c r="L503" s="497"/>
      <c r="M503" s="497"/>
    </row>
    <row r="504" spans="1:13" s="88" customFormat="1" ht="16.5" customHeight="1">
      <c r="A504" s="496" t="s">
        <v>1220</v>
      </c>
      <c r="B504" s="496"/>
      <c r="C504" s="493" t="s">
        <v>2198</v>
      </c>
      <c r="D504" s="493"/>
      <c r="E504" s="493"/>
      <c r="F504" s="493"/>
      <c r="G504" s="493"/>
      <c r="H504" s="493"/>
      <c r="I504" s="493"/>
      <c r="J504" s="493"/>
      <c r="K504" s="493"/>
      <c r="L504" s="493"/>
      <c r="M504" s="493"/>
    </row>
    <row r="505" spans="1:13" s="88" customFormat="1" ht="16.5" customHeight="1">
      <c r="A505" s="496" t="s">
        <v>5785</v>
      </c>
      <c r="B505" s="496"/>
      <c r="C505" s="493" t="s">
        <v>2199</v>
      </c>
      <c r="D505" s="493"/>
      <c r="E505" s="493"/>
      <c r="F505" s="493"/>
      <c r="G505" s="493"/>
      <c r="H505" s="493"/>
      <c r="I505" s="493"/>
      <c r="J505" s="493"/>
      <c r="K505" s="493"/>
      <c r="L505" s="493"/>
      <c r="M505" s="493"/>
    </row>
    <row r="506" spans="1:13" s="88" customFormat="1" ht="16.5" customHeight="1">
      <c r="A506" s="89" t="s">
        <v>1223</v>
      </c>
      <c r="B506" s="92" t="s">
        <v>2200</v>
      </c>
      <c r="C506" s="493" t="s">
        <v>2201</v>
      </c>
      <c r="D506" s="493"/>
      <c r="E506" s="493"/>
      <c r="F506" s="493"/>
      <c r="G506" s="493"/>
      <c r="H506" s="493"/>
      <c r="I506" s="493"/>
      <c r="J506" s="493"/>
      <c r="K506" s="493"/>
      <c r="L506" s="493"/>
      <c r="M506" s="493"/>
    </row>
    <row r="507" spans="1:13" s="88" customFormat="1" ht="16.5" customHeight="1">
      <c r="A507" s="89"/>
      <c r="B507" s="92" t="s">
        <v>2202</v>
      </c>
      <c r="C507" s="493" t="s">
        <v>2203</v>
      </c>
      <c r="D507" s="493"/>
      <c r="E507" s="493"/>
      <c r="F507" s="493"/>
      <c r="G507" s="493"/>
      <c r="H507" s="493"/>
      <c r="I507" s="493"/>
      <c r="J507" s="493"/>
      <c r="K507" s="493"/>
      <c r="L507" s="493"/>
      <c r="M507" s="493"/>
    </row>
    <row r="508" spans="1:13" s="88" customFormat="1" ht="16.5" customHeight="1">
      <c r="A508" s="89"/>
      <c r="B508" s="90"/>
      <c r="C508" s="493"/>
      <c r="D508" s="493"/>
      <c r="E508" s="493"/>
      <c r="F508" s="493"/>
      <c r="G508" s="493"/>
      <c r="H508" s="493"/>
      <c r="I508" s="493"/>
      <c r="J508" s="493"/>
      <c r="K508" s="493"/>
      <c r="L508" s="493"/>
      <c r="M508" s="493"/>
    </row>
    <row r="509" spans="1:13" s="88" customFormat="1" ht="38.25" customHeight="1">
      <c r="A509" s="89" t="s">
        <v>1228</v>
      </c>
      <c r="B509" s="493" t="s">
        <v>2204</v>
      </c>
      <c r="C509" s="493"/>
      <c r="D509" s="493"/>
      <c r="E509" s="493"/>
      <c r="F509" s="493"/>
      <c r="G509" s="493"/>
      <c r="H509" s="493"/>
      <c r="I509" s="493"/>
      <c r="J509" s="493"/>
      <c r="K509" s="493"/>
      <c r="L509" s="493"/>
      <c r="M509" s="493"/>
    </row>
    <row r="510" spans="1:13" ht="16.5" customHeight="1">
      <c r="A510" s="89" t="s">
        <v>1229</v>
      </c>
      <c r="B510" s="493" t="s">
        <v>2113</v>
      </c>
      <c r="C510" s="493"/>
      <c r="D510" s="493"/>
      <c r="E510" s="493"/>
      <c r="F510" s="493"/>
      <c r="G510" s="493"/>
      <c r="H510" s="493"/>
      <c r="I510" s="493"/>
      <c r="J510" s="493"/>
      <c r="K510" s="493"/>
      <c r="L510" s="493"/>
      <c r="M510" s="493"/>
    </row>
    <row r="511" spans="1:13" ht="21" customHeight="1">
      <c r="B511" s="494" t="s">
        <v>1231</v>
      </c>
      <c r="C511" s="494"/>
      <c r="D511" s="494"/>
      <c r="E511" s="494"/>
      <c r="F511" s="494"/>
      <c r="G511" s="494"/>
      <c r="H511" s="494"/>
      <c r="I511" s="494"/>
      <c r="J511" s="494"/>
      <c r="K511" s="494"/>
      <c r="L511" s="495"/>
    </row>
    <row r="512" spans="1:13" s="93" customFormat="1" ht="16.5" customHeight="1"/>
    <row r="513" spans="1:7" s="93" customFormat="1" ht="16.5" customHeight="1">
      <c r="A513" s="94" t="s">
        <v>1232</v>
      </c>
      <c r="B513" s="93" t="s">
        <v>1773</v>
      </c>
    </row>
    <row r="514" spans="1:7" ht="16.5" customHeight="1"/>
    <row r="515" spans="1:7" ht="16.5" customHeight="1">
      <c r="B515" s="194" t="s">
        <v>2205</v>
      </c>
      <c r="C515" s="302">
        <v>86</v>
      </c>
      <c r="D515" s="302">
        <v>86</v>
      </c>
      <c r="E515" s="302">
        <v>86</v>
      </c>
      <c r="F515" s="303">
        <v>86</v>
      </c>
    </row>
    <row r="516" spans="1:7" ht="16.5" customHeight="1">
      <c r="B516" s="298" t="s">
        <v>2206</v>
      </c>
      <c r="C516" s="297">
        <v>5</v>
      </c>
      <c r="D516" s="297">
        <v>10</v>
      </c>
      <c r="E516" s="297">
        <v>15</v>
      </c>
      <c r="F516" s="177">
        <v>20</v>
      </c>
      <c r="G516" s="104" t="s">
        <v>1238</v>
      </c>
    </row>
    <row r="517" spans="1:7" ht="16.5" customHeight="1">
      <c r="B517" s="182" t="s">
        <v>1456</v>
      </c>
      <c r="C517" s="299">
        <f>FLOOR(C515,C516)</f>
        <v>85</v>
      </c>
      <c r="D517" s="299">
        <f>FLOOR(D515,D516)</f>
        <v>80</v>
      </c>
      <c r="E517" s="299">
        <f>FLOOR(E515,E516)</f>
        <v>75</v>
      </c>
      <c r="F517" s="183">
        <f>FLOOR(F515,F516)</f>
        <v>80</v>
      </c>
      <c r="G517" s="108" t="s">
        <v>2207</v>
      </c>
    </row>
    <row r="518" spans="1:7" ht="16.5" customHeight="1"/>
    <row r="519" spans="1:7" ht="16.5" customHeight="1"/>
    <row r="520" spans="1:7" s="93" customFormat="1" ht="16.5" customHeight="1"/>
    <row r="521" spans="1:7" s="93" customFormat="1" ht="16.5" customHeight="1">
      <c r="A521" s="94" t="s">
        <v>1244</v>
      </c>
      <c r="B521" s="93" t="s">
        <v>2208</v>
      </c>
    </row>
    <row r="522" spans="1:7" s="93" customFormat="1" ht="16.5" customHeight="1">
      <c r="B522" s="565" t="s">
        <v>2209</v>
      </c>
      <c r="C522" s="565"/>
      <c r="D522" s="565"/>
      <c r="E522" s="565"/>
      <c r="F522" s="565"/>
      <c r="G522" s="565"/>
    </row>
    <row r="523" spans="1:7" s="93" customFormat="1" ht="16.5" customHeight="1">
      <c r="B523" s="95" t="s">
        <v>2210</v>
      </c>
      <c r="C523" s="96" t="s">
        <v>2211</v>
      </c>
      <c r="D523" s="96" t="s">
        <v>2212</v>
      </c>
      <c r="E523" s="96" t="s">
        <v>2213</v>
      </c>
      <c r="F523" s="96" t="s">
        <v>2214</v>
      </c>
      <c r="G523" s="304" t="s">
        <v>2215</v>
      </c>
    </row>
    <row r="524" spans="1:7" s="93" customFormat="1" ht="16.5" customHeight="1">
      <c r="B524" s="305" t="s">
        <v>1720</v>
      </c>
      <c r="C524" s="110">
        <v>302</v>
      </c>
      <c r="D524" s="110">
        <v>30</v>
      </c>
      <c r="E524" s="110">
        <f>FLOOR(C524,D524)</f>
        <v>300</v>
      </c>
      <c r="F524" s="110">
        <f>C524-E524</f>
        <v>2</v>
      </c>
      <c r="G524" s="101">
        <f>E524/D524</f>
        <v>10</v>
      </c>
    </row>
    <row r="525" spans="1:7" s="93" customFormat="1" ht="16.5" customHeight="1">
      <c r="B525" s="305" t="s">
        <v>1724</v>
      </c>
      <c r="C525" s="110">
        <v>66</v>
      </c>
      <c r="D525" s="110">
        <v>12</v>
      </c>
      <c r="E525" s="110">
        <f>FLOOR(C525,D525)</f>
        <v>60</v>
      </c>
      <c r="F525" s="110">
        <f>C525-E525</f>
        <v>6</v>
      </c>
      <c r="G525" s="101">
        <f>E525/D525</f>
        <v>5</v>
      </c>
    </row>
    <row r="526" spans="1:7" s="93" customFormat="1" ht="16.5" customHeight="1">
      <c r="B526" s="305" t="s">
        <v>1725</v>
      </c>
      <c r="C526" s="110">
        <v>78</v>
      </c>
      <c r="D526" s="110">
        <v>12</v>
      </c>
      <c r="E526" s="110">
        <f>FLOOR(C526,D526)</f>
        <v>72</v>
      </c>
      <c r="F526" s="110">
        <f>C526-E526</f>
        <v>6</v>
      </c>
      <c r="G526" s="101">
        <f>E526/D526</f>
        <v>6</v>
      </c>
    </row>
    <row r="527" spans="1:7" s="93" customFormat="1" ht="16.5" customHeight="1">
      <c r="B527" s="105" t="s">
        <v>1721</v>
      </c>
      <c r="C527" s="113">
        <v>298</v>
      </c>
      <c r="D527" s="113">
        <v>30</v>
      </c>
      <c r="E527" s="113">
        <f>FLOOR(C527,D527)</f>
        <v>270</v>
      </c>
      <c r="F527" s="113">
        <f>C527-E527</f>
        <v>28</v>
      </c>
      <c r="G527" s="107">
        <f>E527/D527</f>
        <v>9</v>
      </c>
    </row>
    <row r="528" spans="1:7" s="93" customFormat="1" ht="16.5" customHeight="1">
      <c r="E528" s="104" t="s">
        <v>1238</v>
      </c>
    </row>
    <row r="529" spans="3:5" s="93" customFormat="1" ht="16.5" customHeight="1">
      <c r="C529" s="4"/>
      <c r="E529" s="108" t="s">
        <v>2216</v>
      </c>
    </row>
    <row r="530" spans="3:5" s="93" customFormat="1" ht="16.5" customHeight="1">
      <c r="C530" s="4"/>
    </row>
    <row r="531" spans="3:5" s="93" customFormat="1" ht="16.5" customHeight="1">
      <c r="C531" s="4"/>
    </row>
    <row r="532" spans="3:5" s="93" customFormat="1" ht="16.5" customHeight="1">
      <c r="C532" s="4"/>
    </row>
    <row r="533" spans="3:5" s="93" customFormat="1" ht="16.5" customHeight="1">
      <c r="C533" s="4"/>
    </row>
    <row r="534" spans="3:5" s="93" customFormat="1" ht="16.5" customHeight="1">
      <c r="C534" s="4"/>
    </row>
    <row r="535" spans="3:5" s="93" customFormat="1" ht="16.5" customHeight="1">
      <c r="C535" s="4"/>
    </row>
    <row r="536" spans="3:5" s="93" customFormat="1" ht="16.5" customHeight="1">
      <c r="C536" s="4"/>
    </row>
    <row r="537" spans="3:5" s="93" customFormat="1" ht="16.5" customHeight="1">
      <c r="C537" s="4"/>
    </row>
    <row r="538" spans="3:5" s="93" customFormat="1" ht="16.5" customHeight="1">
      <c r="C538" s="4"/>
    </row>
    <row r="539" spans="3:5" s="93" customFormat="1" ht="16.5" customHeight="1">
      <c r="C539" s="4"/>
    </row>
    <row r="540" spans="3:5" s="93" customFormat="1" ht="16.5" customHeight="1">
      <c r="C540" s="4"/>
    </row>
    <row r="541" spans="3:5" s="93" customFormat="1" ht="16.5" customHeight="1">
      <c r="C541" s="4"/>
    </row>
    <row r="542" spans="3:5" s="93" customFormat="1" ht="16.5" customHeight="1">
      <c r="C542" s="4"/>
    </row>
    <row r="543" spans="3:5" s="93" customFormat="1" ht="16.5" customHeight="1">
      <c r="C543" s="4"/>
    </row>
    <row r="544" spans="3:5" s="93" customFormat="1" ht="16.5" customHeight="1">
      <c r="C544" s="4"/>
    </row>
    <row r="545" spans="3:3" s="93" customFormat="1" ht="16.5" customHeight="1">
      <c r="C545" s="4"/>
    </row>
    <row r="546" spans="3:3" s="93" customFormat="1" ht="16.5" customHeight="1">
      <c r="C546" s="4"/>
    </row>
    <row r="547" spans="3:3" s="93" customFormat="1" ht="16.5" customHeight="1">
      <c r="C547" s="4"/>
    </row>
    <row r="548" spans="3:3" s="93" customFormat="1" ht="16.5" customHeight="1">
      <c r="C548" s="4"/>
    </row>
    <row r="549" spans="3:3" s="93" customFormat="1" ht="16.5" customHeight="1">
      <c r="C549" s="4"/>
    </row>
    <row r="550" spans="3:3" s="93" customFormat="1" ht="16.5" customHeight="1">
      <c r="C550" s="4"/>
    </row>
    <row r="551" spans="3:3" s="93" customFormat="1" ht="16.5" customHeight="1">
      <c r="C551" s="4"/>
    </row>
    <row r="552" spans="3:3" s="93" customFormat="1" ht="16.5" customHeight="1">
      <c r="C552" s="4"/>
    </row>
    <row r="553" spans="3:3" s="93" customFormat="1" ht="16.5" customHeight="1">
      <c r="C553" s="4"/>
    </row>
    <row r="554" spans="3:3" s="93" customFormat="1" ht="16.5" customHeight="1">
      <c r="C554" s="4"/>
    </row>
    <row r="555" spans="3:3" s="93" customFormat="1" ht="16.5" customHeight="1">
      <c r="C555" s="4"/>
    </row>
    <row r="556" spans="3:3" s="93" customFormat="1" ht="16.5" customHeight="1">
      <c r="C556" s="4"/>
    </row>
    <row r="557" spans="3:3" s="93" customFormat="1" ht="16.5" customHeight="1">
      <c r="C557" s="4"/>
    </row>
    <row r="558" spans="3:3" s="93" customFormat="1" ht="16.5" customHeight="1">
      <c r="C558" s="4"/>
    </row>
    <row r="559" spans="3:3" s="93" customFormat="1" ht="16.5" customHeight="1">
      <c r="C559" s="4"/>
    </row>
    <row r="560" spans="3:3" s="93" customFormat="1" ht="16.5" customHeight="1">
      <c r="C560" s="4"/>
    </row>
    <row r="561" spans="3:3" s="93" customFormat="1" ht="16.5" customHeight="1">
      <c r="C561" s="4"/>
    </row>
    <row r="562" spans="3:3" s="93" customFormat="1" ht="16.5" customHeight="1">
      <c r="C562" s="4"/>
    </row>
    <row r="563" spans="3:3" s="93" customFormat="1" ht="16.5" customHeight="1">
      <c r="C563" s="4"/>
    </row>
    <row r="564" spans="3:3" s="93" customFormat="1" ht="16.5" customHeight="1">
      <c r="C564" s="4"/>
    </row>
    <row r="565" spans="3:3" s="93" customFormat="1" ht="16.5" customHeight="1">
      <c r="C565" s="4"/>
    </row>
    <row r="566" spans="3:3" s="93" customFormat="1" ht="16.5" customHeight="1">
      <c r="C566" s="4"/>
    </row>
    <row r="567" spans="3:3" s="93" customFormat="1" ht="16.5" customHeight="1">
      <c r="C567" s="4"/>
    </row>
    <row r="568" spans="3:3" s="93" customFormat="1" ht="16.5" customHeight="1">
      <c r="C568" s="4"/>
    </row>
    <row r="569" spans="3:3" s="93" customFormat="1" ht="16.5" customHeight="1">
      <c r="C569" s="4"/>
    </row>
    <row r="570" spans="3:3" s="93" customFormat="1" ht="16.5" customHeight="1">
      <c r="C570" s="4"/>
    </row>
    <row r="571" spans="3:3" s="93" customFormat="1" ht="16.5" customHeight="1">
      <c r="C571" s="4"/>
    </row>
    <row r="572" spans="3:3" s="93" customFormat="1" ht="16.5" customHeight="1">
      <c r="C572" s="4"/>
    </row>
    <row r="573" spans="3:3" s="93" customFormat="1" ht="16.5" customHeight="1">
      <c r="C573" s="4"/>
    </row>
    <row r="574" spans="3:3" s="93" customFormat="1" ht="16.5" customHeight="1">
      <c r="C574" s="4"/>
    </row>
    <row r="575" spans="3:3" s="93" customFormat="1" ht="16.5" customHeight="1">
      <c r="C575" s="4"/>
    </row>
    <row r="576" spans="3:3" s="93" customFormat="1" ht="16.5" customHeight="1">
      <c r="C576" s="4"/>
    </row>
    <row r="577" spans="3:3" s="93" customFormat="1" ht="16.5" customHeight="1">
      <c r="C577" s="4"/>
    </row>
    <row r="578" spans="3:3" s="93" customFormat="1" ht="16.5" customHeight="1">
      <c r="C578" s="4"/>
    </row>
    <row r="579" spans="3:3" s="93" customFormat="1" ht="16.5" customHeight="1">
      <c r="C579" s="4"/>
    </row>
    <row r="580" spans="3:3" s="93" customFormat="1" ht="16.5" customHeight="1">
      <c r="C580" s="4"/>
    </row>
    <row r="581" spans="3:3" s="93" customFormat="1">
      <c r="C581" s="4"/>
    </row>
    <row r="582" spans="3:3" s="93" customFormat="1" ht="15"/>
    <row r="583" spans="3:3" s="93" customFormat="1" ht="15"/>
    <row r="584" spans="3:3" s="93" customFormat="1" ht="15"/>
    <row r="600" spans="1:13" s="88" customFormat="1" ht="26.25" customHeight="1">
      <c r="A600" s="498" t="s">
        <v>128</v>
      </c>
      <c r="B600" s="498"/>
      <c r="C600" s="499"/>
      <c r="D600" s="87"/>
      <c r="E600" s="500" t="str">
        <f>HYPERLINK("#目录!A75","跳转回到目录页")</f>
        <v>跳转回到目录页</v>
      </c>
      <c r="F600" s="501"/>
    </row>
    <row r="601" spans="1:13" s="88" customFormat="1" ht="26.25" customHeight="1">
      <c r="A601" s="502" t="s">
        <v>1216</v>
      </c>
      <c r="B601" s="502"/>
      <c r="C601" s="503" t="s">
        <v>129</v>
      </c>
      <c r="D601" s="503"/>
      <c r="E601" s="503"/>
      <c r="F601" s="503"/>
      <c r="G601" s="503"/>
      <c r="H601" s="503"/>
      <c r="I601" s="503"/>
      <c r="J601" s="503"/>
      <c r="K601" s="503"/>
      <c r="L601" s="503"/>
      <c r="M601" s="503"/>
    </row>
    <row r="602" spans="1:13" s="88" customFormat="1" ht="16.5" customHeight="1">
      <c r="A602" s="496" t="s">
        <v>1217</v>
      </c>
      <c r="B602" s="496"/>
      <c r="C602" s="493" t="s">
        <v>2217</v>
      </c>
      <c r="D602" s="493"/>
      <c r="E602" s="493"/>
      <c r="F602" s="493"/>
      <c r="G602" s="493"/>
      <c r="H602" s="493"/>
      <c r="I602" s="493"/>
      <c r="J602" s="493"/>
      <c r="K602" s="493"/>
      <c r="L602" s="493"/>
      <c r="M602" s="493"/>
    </row>
    <row r="603" spans="1:13" s="88" customFormat="1" ht="16.5" customHeight="1">
      <c r="A603" s="496" t="s">
        <v>5786</v>
      </c>
      <c r="B603" s="496"/>
      <c r="C603" s="497" t="s">
        <v>129</v>
      </c>
      <c r="D603" s="497"/>
      <c r="E603" s="497"/>
      <c r="F603" s="497"/>
      <c r="G603" s="497"/>
      <c r="H603" s="497"/>
      <c r="I603" s="497"/>
      <c r="J603" s="497"/>
      <c r="K603" s="497"/>
      <c r="L603" s="497"/>
      <c r="M603" s="497"/>
    </row>
    <row r="604" spans="1:13" s="88" customFormat="1" ht="16.5" customHeight="1">
      <c r="A604" s="496" t="s">
        <v>1220</v>
      </c>
      <c r="B604" s="496"/>
      <c r="C604" s="493" t="s">
        <v>2218</v>
      </c>
      <c r="D604" s="493"/>
      <c r="E604" s="493"/>
      <c r="F604" s="493"/>
      <c r="G604" s="493"/>
      <c r="H604" s="493"/>
      <c r="I604" s="493"/>
      <c r="J604" s="493"/>
      <c r="K604" s="493"/>
      <c r="L604" s="493"/>
      <c r="M604" s="493"/>
    </row>
    <row r="605" spans="1:13" s="88" customFormat="1" ht="16.5" customHeight="1">
      <c r="A605" s="496" t="s">
        <v>5785</v>
      </c>
      <c r="B605" s="496"/>
      <c r="C605" s="493" t="s">
        <v>2219</v>
      </c>
      <c r="D605" s="493"/>
      <c r="E605" s="493"/>
      <c r="F605" s="493"/>
      <c r="G605" s="493"/>
      <c r="H605" s="493"/>
      <c r="I605" s="493"/>
      <c r="J605" s="493"/>
      <c r="K605" s="493"/>
      <c r="L605" s="493"/>
      <c r="M605" s="493"/>
    </row>
    <row r="606" spans="1:13" s="88" customFormat="1" ht="16.5" customHeight="1">
      <c r="A606" s="89" t="s">
        <v>1223</v>
      </c>
      <c r="B606" s="92" t="s">
        <v>2200</v>
      </c>
      <c r="C606" s="493" t="s">
        <v>2220</v>
      </c>
      <c r="D606" s="493"/>
      <c r="E606" s="493"/>
      <c r="F606" s="493"/>
      <c r="G606" s="493"/>
      <c r="H606" s="493"/>
      <c r="I606" s="493"/>
      <c r="J606" s="493"/>
      <c r="K606" s="493"/>
      <c r="L606" s="493"/>
      <c r="M606" s="493"/>
    </row>
    <row r="607" spans="1:13" s="88" customFormat="1" ht="16.5" customHeight="1">
      <c r="A607" s="89"/>
      <c r="B607" s="92" t="s">
        <v>2202</v>
      </c>
      <c r="C607" s="493" t="s">
        <v>2221</v>
      </c>
      <c r="D607" s="493"/>
      <c r="E607" s="493"/>
      <c r="F607" s="493"/>
      <c r="G607" s="493"/>
      <c r="H607" s="493"/>
      <c r="I607" s="493"/>
      <c r="J607" s="493"/>
      <c r="K607" s="493"/>
      <c r="L607" s="493"/>
      <c r="M607" s="493"/>
    </row>
    <row r="608" spans="1:13" s="88" customFormat="1" ht="16.5" customHeight="1">
      <c r="A608" s="89"/>
      <c r="B608" s="90"/>
      <c r="C608" s="493"/>
      <c r="D608" s="493"/>
      <c r="E608" s="493"/>
      <c r="F608" s="493"/>
      <c r="G608" s="493"/>
      <c r="H608" s="493"/>
      <c r="I608" s="493"/>
      <c r="J608" s="493"/>
      <c r="K608" s="493"/>
      <c r="L608" s="493"/>
      <c r="M608" s="493"/>
    </row>
    <row r="609" spans="1:13" s="88" customFormat="1" ht="38.25" customHeight="1">
      <c r="A609" s="89" t="s">
        <v>1228</v>
      </c>
      <c r="B609" s="493" t="s">
        <v>2222</v>
      </c>
      <c r="C609" s="493"/>
      <c r="D609" s="493"/>
      <c r="E609" s="493"/>
      <c r="F609" s="493"/>
      <c r="G609" s="493"/>
      <c r="H609" s="493"/>
      <c r="I609" s="493"/>
      <c r="J609" s="493"/>
      <c r="K609" s="493"/>
      <c r="L609" s="493"/>
      <c r="M609" s="493"/>
    </row>
    <row r="610" spans="1:13" ht="16.5" customHeight="1">
      <c r="A610" s="89" t="s">
        <v>1229</v>
      </c>
      <c r="B610" s="493" t="s">
        <v>2113</v>
      </c>
      <c r="C610" s="493"/>
      <c r="D610" s="493"/>
      <c r="E610" s="493"/>
      <c r="F610" s="493"/>
      <c r="G610" s="493"/>
      <c r="H610" s="493"/>
      <c r="I610" s="493"/>
      <c r="J610" s="493"/>
      <c r="K610" s="493"/>
      <c r="L610" s="493"/>
      <c r="M610" s="493"/>
    </row>
    <row r="611" spans="1:13" ht="21" customHeight="1">
      <c r="B611" s="494" t="s">
        <v>1231</v>
      </c>
      <c r="C611" s="494"/>
      <c r="D611" s="494"/>
      <c r="E611" s="494"/>
      <c r="F611" s="494"/>
      <c r="G611" s="494"/>
      <c r="H611" s="494"/>
      <c r="I611" s="494"/>
      <c r="J611" s="494"/>
      <c r="K611" s="494"/>
      <c r="L611" s="495"/>
    </row>
    <row r="612" spans="1:13" s="93" customFormat="1" ht="16.5" customHeight="1"/>
    <row r="613" spans="1:13" s="93" customFormat="1" ht="16.5" customHeight="1">
      <c r="A613" s="94" t="s">
        <v>1232</v>
      </c>
      <c r="B613" s="93" t="s">
        <v>1773</v>
      </c>
    </row>
    <row r="614" spans="1:13" ht="16.5" customHeight="1">
      <c r="A614" s="93"/>
      <c r="B614" s="93"/>
      <c r="C614" s="93"/>
      <c r="D614" s="93"/>
      <c r="E614" s="93"/>
      <c r="F614" s="170"/>
      <c r="G614" s="93"/>
      <c r="H614" s="93"/>
      <c r="I614" s="93"/>
      <c r="J614" s="93"/>
      <c r="K614" s="93"/>
      <c r="L614" s="93"/>
    </row>
    <row r="615" spans="1:13" ht="16.5" customHeight="1">
      <c r="A615" s="93"/>
      <c r="B615" s="518" t="s">
        <v>129</v>
      </c>
      <c r="C615" s="518"/>
      <c r="D615" s="518"/>
      <c r="E615" s="518"/>
      <c r="F615" s="518"/>
      <c r="H615" s="158"/>
      <c r="I615" s="93"/>
      <c r="J615" s="93"/>
      <c r="K615" s="93"/>
      <c r="L615" s="93"/>
    </row>
    <row r="616" spans="1:13" ht="16.5" customHeight="1">
      <c r="A616" s="93"/>
      <c r="B616" s="95" t="s">
        <v>2205</v>
      </c>
      <c r="C616" s="188">
        <v>86</v>
      </c>
      <c r="D616" s="188">
        <v>86</v>
      </c>
      <c r="E616" s="188">
        <v>86</v>
      </c>
      <c r="F616" s="138">
        <v>86</v>
      </c>
      <c r="H616" s="93"/>
      <c r="I616" s="93"/>
      <c r="J616" s="93"/>
      <c r="K616" s="93"/>
      <c r="L616" s="93"/>
    </row>
    <row r="617" spans="1:13" ht="16.5" customHeight="1">
      <c r="A617" s="93"/>
      <c r="B617" s="111" t="s">
        <v>2206</v>
      </c>
      <c r="C617" s="110">
        <v>5</v>
      </c>
      <c r="D617" s="110">
        <v>10</v>
      </c>
      <c r="E617" s="110">
        <v>15</v>
      </c>
      <c r="F617" s="101">
        <v>20</v>
      </c>
      <c r="G617" s="158" t="s">
        <v>1238</v>
      </c>
      <c r="H617" s="93"/>
      <c r="I617" s="93"/>
      <c r="J617" s="93"/>
      <c r="K617" s="93"/>
      <c r="L617" s="93"/>
    </row>
    <row r="618" spans="1:13" ht="16.5" customHeight="1">
      <c r="A618" s="93"/>
      <c r="B618" s="151" t="s">
        <v>1456</v>
      </c>
      <c r="C618" s="113">
        <f>CEILING(C616,C617)</f>
        <v>90</v>
      </c>
      <c r="D618" s="113">
        <f>CEILING(D616,D617)</f>
        <v>90</v>
      </c>
      <c r="E618" s="113">
        <f>CEILING(E616,E617)</f>
        <v>90</v>
      </c>
      <c r="F618" s="107">
        <f>CEILING(F616,F617)</f>
        <v>100</v>
      </c>
      <c r="G618" s="108" t="s">
        <v>2223</v>
      </c>
      <c r="H618" s="93"/>
      <c r="I618" s="93"/>
      <c r="J618" s="93"/>
      <c r="K618" s="93"/>
      <c r="L618" s="93"/>
    </row>
    <row r="619" spans="1:13" ht="16.5" customHeight="1">
      <c r="A619" s="93"/>
      <c r="B619" s="93"/>
      <c r="C619" s="93"/>
      <c r="D619" s="93"/>
      <c r="E619" s="93"/>
      <c r="F619" s="161"/>
      <c r="G619" s="93"/>
      <c r="H619" s="93"/>
      <c r="I619" s="93"/>
      <c r="J619" s="93"/>
      <c r="K619" s="93"/>
      <c r="L619" s="93"/>
    </row>
    <row r="620" spans="1:13" ht="16.5" customHeight="1">
      <c r="A620" s="93"/>
      <c r="B620" s="93"/>
      <c r="C620" s="93"/>
      <c r="D620" s="93"/>
      <c r="E620" s="93"/>
      <c r="F620" s="161"/>
      <c r="G620" s="93"/>
      <c r="H620" s="93"/>
      <c r="I620" s="93"/>
      <c r="J620" s="93"/>
      <c r="K620" s="93"/>
      <c r="L620" s="93"/>
    </row>
    <row r="621" spans="1:13" ht="16.5" customHeight="1">
      <c r="A621" s="93"/>
      <c r="B621" s="93"/>
      <c r="C621" s="93"/>
      <c r="D621" s="93"/>
      <c r="E621" s="93"/>
      <c r="F621" s="161"/>
      <c r="G621" s="93"/>
      <c r="H621" s="93"/>
      <c r="I621" s="93"/>
      <c r="J621" s="93"/>
      <c r="K621" s="93"/>
      <c r="L621" s="93"/>
    </row>
    <row r="622" spans="1:13" ht="16.5" customHeight="1">
      <c r="A622" s="94" t="s">
        <v>1244</v>
      </c>
      <c r="B622" s="93" t="s">
        <v>2208</v>
      </c>
      <c r="C622" s="93"/>
      <c r="D622" s="93"/>
      <c r="E622" s="93"/>
      <c r="F622" s="93"/>
      <c r="G622" s="93"/>
      <c r="H622" s="93"/>
      <c r="I622" s="93"/>
      <c r="J622" s="93"/>
      <c r="K622" s="93"/>
      <c r="L622" s="93"/>
    </row>
    <row r="623" spans="1:13" ht="16.5" customHeight="1">
      <c r="A623" s="93"/>
      <c r="H623" s="93"/>
      <c r="I623" s="93"/>
      <c r="J623" s="93"/>
      <c r="K623" s="93"/>
      <c r="L623" s="93"/>
    </row>
    <row r="624" spans="1:13" ht="16.5" customHeight="1">
      <c r="A624" s="93"/>
    </row>
    <row r="625" spans="1:7" ht="16.5" customHeight="1">
      <c r="A625" s="93"/>
      <c r="B625" s="565" t="s">
        <v>2209</v>
      </c>
      <c r="C625" s="565"/>
      <c r="D625" s="565"/>
      <c r="E625" s="565"/>
      <c r="F625" s="565"/>
      <c r="G625" s="565"/>
    </row>
    <row r="626" spans="1:7" ht="16.5" customHeight="1">
      <c r="A626" s="93"/>
      <c r="B626" s="95" t="s">
        <v>2210</v>
      </c>
      <c r="C626" s="96" t="s">
        <v>2211</v>
      </c>
      <c r="D626" s="96" t="s">
        <v>2212</v>
      </c>
      <c r="E626" s="96" t="s">
        <v>2213</v>
      </c>
      <c r="F626" s="96" t="s">
        <v>2214</v>
      </c>
      <c r="G626" s="304" t="s">
        <v>2215</v>
      </c>
    </row>
    <row r="627" spans="1:7" ht="16.5" customHeight="1">
      <c r="A627" s="93"/>
      <c r="B627" s="305" t="s">
        <v>1720</v>
      </c>
      <c r="C627" s="110">
        <v>302</v>
      </c>
      <c r="D627" s="110">
        <v>30</v>
      </c>
      <c r="E627" s="110">
        <f>CEILING(C627,D627)</f>
        <v>330</v>
      </c>
      <c r="F627" s="110">
        <f>C627-E627</f>
        <v>-28</v>
      </c>
      <c r="G627" s="101">
        <f>E627/D627</f>
        <v>11</v>
      </c>
    </row>
    <row r="628" spans="1:7" ht="16.5" customHeight="1">
      <c r="A628" s="93"/>
      <c r="B628" s="305" t="s">
        <v>1724</v>
      </c>
      <c r="C628" s="110">
        <v>66</v>
      </c>
      <c r="D628" s="110">
        <v>12</v>
      </c>
      <c r="E628" s="110">
        <f>CEILING(C628,D628)</f>
        <v>72</v>
      </c>
      <c r="F628" s="110">
        <f>C628-E628</f>
        <v>-6</v>
      </c>
      <c r="G628" s="101">
        <f>E628/D628</f>
        <v>6</v>
      </c>
    </row>
    <row r="629" spans="1:7" ht="16.5" customHeight="1">
      <c r="A629" s="93"/>
      <c r="B629" s="305" t="s">
        <v>1725</v>
      </c>
      <c r="C629" s="110">
        <v>78</v>
      </c>
      <c r="D629" s="110">
        <v>12</v>
      </c>
      <c r="E629" s="110">
        <f>CEILING(C629,D629)</f>
        <v>84</v>
      </c>
      <c r="F629" s="110">
        <f>C629-E629</f>
        <v>-6</v>
      </c>
      <c r="G629" s="101">
        <f>E629/D629</f>
        <v>7</v>
      </c>
    </row>
    <row r="630" spans="1:7" ht="16.5" customHeight="1">
      <c r="A630" s="93"/>
      <c r="B630" s="105" t="s">
        <v>1721</v>
      </c>
      <c r="C630" s="113">
        <v>298</v>
      </c>
      <c r="D630" s="113">
        <v>30</v>
      </c>
      <c r="E630" s="113">
        <f>CEILING(C630,D630)</f>
        <v>300</v>
      </c>
      <c r="F630" s="113">
        <f>C630-E630</f>
        <v>-2</v>
      </c>
      <c r="G630" s="107">
        <f>E630/D630</f>
        <v>10</v>
      </c>
    </row>
    <row r="631" spans="1:7" ht="16.5" customHeight="1">
      <c r="B631" s="93"/>
      <c r="C631" s="93"/>
      <c r="D631" s="93"/>
      <c r="E631" s="104" t="s">
        <v>1238</v>
      </c>
      <c r="F631" s="93"/>
      <c r="G631" s="93"/>
    </row>
    <row r="632" spans="1:7" ht="16.5" customHeight="1">
      <c r="B632" s="93"/>
      <c r="D632" s="93"/>
      <c r="E632" s="108" t="s">
        <v>2224</v>
      </c>
      <c r="F632" s="93"/>
      <c r="G632" s="93"/>
    </row>
    <row r="700" spans="1:13" s="88" customFormat="1" ht="26.25" customHeight="1">
      <c r="A700" s="498" t="s">
        <v>130</v>
      </c>
      <c r="B700" s="498"/>
      <c r="C700" s="499"/>
      <c r="D700" s="87"/>
      <c r="E700" s="500" t="str">
        <f>HYPERLINK("#目录!A76","跳转回到目录页")</f>
        <v>跳转回到目录页</v>
      </c>
      <c r="F700" s="501"/>
    </row>
    <row r="701" spans="1:13" s="88" customFormat="1" ht="26.25" customHeight="1">
      <c r="A701" s="502" t="s">
        <v>1216</v>
      </c>
      <c r="B701" s="502"/>
      <c r="C701" s="503" t="s">
        <v>131</v>
      </c>
      <c r="D701" s="503"/>
      <c r="E701" s="503"/>
      <c r="F701" s="503"/>
      <c r="G701" s="503"/>
      <c r="H701" s="503"/>
      <c r="I701" s="503"/>
      <c r="J701" s="503"/>
      <c r="K701" s="503"/>
      <c r="L701" s="503"/>
      <c r="M701" s="503"/>
    </row>
    <row r="702" spans="1:13" s="88" customFormat="1" ht="16.5" customHeight="1">
      <c r="A702" s="496" t="s">
        <v>1217</v>
      </c>
      <c r="B702" s="496"/>
      <c r="C702" s="493" t="s">
        <v>2225</v>
      </c>
      <c r="D702" s="493"/>
      <c r="E702" s="493"/>
      <c r="F702" s="493"/>
      <c r="G702" s="493"/>
      <c r="H702" s="493"/>
      <c r="I702" s="493"/>
      <c r="J702" s="493"/>
      <c r="K702" s="493"/>
      <c r="L702" s="493"/>
      <c r="M702" s="493"/>
    </row>
    <row r="703" spans="1:13" s="88" customFormat="1" ht="16.5" customHeight="1">
      <c r="A703" s="496" t="s">
        <v>5786</v>
      </c>
      <c r="B703" s="496"/>
      <c r="C703" s="497" t="s">
        <v>131</v>
      </c>
      <c r="D703" s="497"/>
      <c r="E703" s="497"/>
      <c r="F703" s="497"/>
      <c r="G703" s="497"/>
      <c r="H703" s="497"/>
      <c r="I703" s="497"/>
      <c r="J703" s="497"/>
      <c r="K703" s="497"/>
      <c r="L703" s="497"/>
      <c r="M703" s="497"/>
    </row>
    <row r="704" spans="1:13" s="88" customFormat="1" ht="16.5" customHeight="1">
      <c r="A704" s="496" t="s">
        <v>1220</v>
      </c>
      <c r="B704" s="496"/>
      <c r="C704" s="493" t="s">
        <v>2226</v>
      </c>
      <c r="D704" s="493"/>
      <c r="E704" s="493"/>
      <c r="F704" s="493"/>
      <c r="G704" s="493"/>
      <c r="H704" s="493"/>
      <c r="I704" s="493"/>
      <c r="J704" s="493"/>
      <c r="K704" s="493"/>
      <c r="L704" s="493"/>
      <c r="M704" s="493"/>
    </row>
    <row r="705" spans="1:13" s="88" customFormat="1" ht="16.5" customHeight="1">
      <c r="A705" s="496" t="s">
        <v>5785</v>
      </c>
      <c r="B705" s="496"/>
      <c r="C705" s="493" t="s">
        <v>2199</v>
      </c>
      <c r="D705" s="493"/>
      <c r="E705" s="493"/>
      <c r="F705" s="493"/>
      <c r="G705" s="493"/>
      <c r="H705" s="493"/>
      <c r="I705" s="493"/>
      <c r="J705" s="493"/>
      <c r="K705" s="493"/>
      <c r="L705" s="493"/>
      <c r="M705" s="493"/>
    </row>
    <row r="706" spans="1:13" s="88" customFormat="1" ht="16.5" customHeight="1">
      <c r="A706" s="89" t="s">
        <v>1223</v>
      </c>
      <c r="B706" s="92" t="s">
        <v>2200</v>
      </c>
      <c r="C706" s="493" t="s">
        <v>2142</v>
      </c>
      <c r="D706" s="493"/>
      <c r="E706" s="493"/>
      <c r="F706" s="493"/>
      <c r="G706" s="493"/>
      <c r="H706" s="493"/>
      <c r="I706" s="493"/>
      <c r="J706" s="493"/>
      <c r="K706" s="493"/>
      <c r="L706" s="493"/>
      <c r="M706" s="493"/>
    </row>
    <row r="707" spans="1:13" s="88" customFormat="1" ht="16.5" customHeight="1">
      <c r="A707" s="89"/>
      <c r="B707" s="92" t="s">
        <v>2227</v>
      </c>
      <c r="C707" s="493" t="s">
        <v>2228</v>
      </c>
      <c r="D707" s="493"/>
      <c r="E707" s="493"/>
      <c r="F707" s="493"/>
      <c r="G707" s="493"/>
      <c r="H707" s="493"/>
      <c r="I707" s="493"/>
      <c r="J707" s="493"/>
      <c r="K707" s="493"/>
      <c r="L707" s="493"/>
      <c r="M707" s="493"/>
    </row>
    <row r="708" spans="1:13" s="88" customFormat="1" ht="16.5" customHeight="1">
      <c r="A708" s="89"/>
      <c r="B708" s="90"/>
      <c r="C708" s="493"/>
      <c r="D708" s="493"/>
      <c r="E708" s="493"/>
      <c r="F708" s="493"/>
      <c r="G708" s="493"/>
      <c r="H708" s="493"/>
      <c r="I708" s="493"/>
      <c r="J708" s="493"/>
      <c r="K708" s="493"/>
      <c r="L708" s="493"/>
      <c r="M708" s="493"/>
    </row>
    <row r="709" spans="1:13" s="88" customFormat="1" ht="16.5" customHeight="1">
      <c r="A709" s="89" t="s">
        <v>1228</v>
      </c>
      <c r="B709" s="493" t="s">
        <v>2229</v>
      </c>
      <c r="C709" s="493"/>
      <c r="D709" s="493"/>
      <c r="E709" s="493"/>
      <c r="F709" s="493"/>
      <c r="G709" s="493"/>
      <c r="H709" s="493"/>
      <c r="I709" s="493"/>
      <c r="J709" s="493"/>
      <c r="K709" s="493"/>
      <c r="L709" s="493"/>
      <c r="M709" s="493"/>
    </row>
    <row r="710" spans="1:13" ht="16.5" customHeight="1">
      <c r="A710" s="89" t="s">
        <v>1229</v>
      </c>
      <c r="B710" s="493" t="s">
        <v>2230</v>
      </c>
      <c r="C710" s="493"/>
      <c r="D710" s="493"/>
      <c r="E710" s="493"/>
      <c r="F710" s="493"/>
      <c r="G710" s="493"/>
      <c r="H710" s="493"/>
      <c r="I710" s="493"/>
      <c r="J710" s="493"/>
      <c r="K710" s="493"/>
      <c r="L710" s="493"/>
      <c r="M710" s="493"/>
    </row>
    <row r="711" spans="1:13" ht="21" customHeight="1">
      <c r="B711" s="494" t="s">
        <v>1231</v>
      </c>
      <c r="C711" s="494"/>
      <c r="D711" s="494"/>
      <c r="E711" s="494"/>
      <c r="F711" s="494"/>
      <c r="G711" s="494"/>
      <c r="H711" s="494"/>
      <c r="I711" s="494"/>
      <c r="J711" s="494"/>
      <c r="K711" s="494"/>
      <c r="L711" s="495"/>
    </row>
    <row r="712" spans="1:13" s="93" customFormat="1" ht="16.5" customHeight="1"/>
    <row r="713" spans="1:13" s="93" customFormat="1" ht="16.5" customHeight="1">
      <c r="A713" s="94" t="s">
        <v>1232</v>
      </c>
      <c r="B713" s="93" t="s">
        <v>1773</v>
      </c>
      <c r="F713" s="219"/>
    </row>
    <row r="714" spans="1:13" ht="16.5" customHeight="1"/>
    <row r="715" spans="1:13" ht="16.5" customHeight="1">
      <c r="A715" s="94"/>
      <c r="B715" s="565" t="s">
        <v>129</v>
      </c>
      <c r="C715" s="565"/>
      <c r="D715" s="565"/>
      <c r="E715" s="565"/>
      <c r="F715" s="565"/>
      <c r="H715" s="93"/>
    </row>
    <row r="716" spans="1:13" ht="16.5" customHeight="1">
      <c r="A716" s="93"/>
      <c r="B716" s="95" t="s">
        <v>2205</v>
      </c>
      <c r="C716" s="188">
        <v>86</v>
      </c>
      <c r="D716" s="188">
        <v>86</v>
      </c>
      <c r="E716" s="188">
        <v>86</v>
      </c>
      <c r="F716" s="138">
        <v>86</v>
      </c>
      <c r="H716" s="93"/>
    </row>
    <row r="717" spans="1:13" ht="16.5" customHeight="1">
      <c r="A717" s="93"/>
      <c r="B717" s="111" t="s">
        <v>2206</v>
      </c>
      <c r="C717" s="110">
        <v>5</v>
      </c>
      <c r="D717" s="110">
        <v>10</v>
      </c>
      <c r="E717" s="110">
        <v>15</v>
      </c>
      <c r="F717" s="101">
        <v>20</v>
      </c>
      <c r="G717" s="158" t="s">
        <v>1238</v>
      </c>
      <c r="H717" s="158"/>
    </row>
    <row r="718" spans="1:13" ht="16.5" customHeight="1">
      <c r="A718" s="93"/>
      <c r="B718" s="151" t="s">
        <v>1456</v>
      </c>
      <c r="C718" s="113">
        <f>MROUND(C716,C717)</f>
        <v>85</v>
      </c>
      <c r="D718" s="113">
        <f>MROUND(D716,D717)</f>
        <v>90</v>
      </c>
      <c r="E718" s="113">
        <f>MROUND(E716,E717)</f>
        <v>90</v>
      </c>
      <c r="F718" s="107">
        <f>MROUND(F716,F717)</f>
        <v>80</v>
      </c>
      <c r="G718" s="108" t="s">
        <v>2231</v>
      </c>
      <c r="H718" s="93"/>
    </row>
    <row r="719" spans="1:13" ht="16.5" customHeight="1">
      <c r="A719" s="93"/>
      <c r="H719" s="93"/>
    </row>
    <row r="720" spans="1:13" ht="16.5" customHeight="1">
      <c r="A720" s="93"/>
      <c r="H720" s="93"/>
    </row>
    <row r="721" spans="1:8" ht="16.5" customHeight="1">
      <c r="A721" s="93"/>
      <c r="B721" s="93"/>
      <c r="C721" s="93"/>
      <c r="D721" s="93"/>
      <c r="E721" s="93"/>
      <c r="F721" s="161"/>
      <c r="G721" s="93"/>
      <c r="H721" s="93"/>
    </row>
    <row r="722" spans="1:8" ht="16.5" customHeight="1">
      <c r="A722" s="93"/>
      <c r="B722" s="93"/>
      <c r="C722" s="93"/>
      <c r="D722" s="93"/>
      <c r="E722" s="93"/>
      <c r="F722" s="161"/>
      <c r="G722" s="93"/>
      <c r="H722" s="93"/>
    </row>
    <row r="723" spans="1:8" ht="16.5" customHeight="1">
      <c r="A723" s="93"/>
      <c r="B723" s="93"/>
      <c r="C723" s="93"/>
      <c r="D723" s="93"/>
      <c r="E723" s="93"/>
      <c r="F723" s="161"/>
      <c r="G723" s="93"/>
      <c r="H723" s="93"/>
    </row>
    <row r="724" spans="1:8" ht="16.5" customHeight="1">
      <c r="A724" s="94" t="s">
        <v>1244</v>
      </c>
      <c r="B724" s="93" t="s">
        <v>2208</v>
      </c>
      <c r="C724" s="93"/>
      <c r="D724" s="93"/>
      <c r="E724" s="93"/>
      <c r="F724" s="93"/>
      <c r="G724" s="93"/>
      <c r="H724" s="93"/>
    </row>
    <row r="725" spans="1:8" ht="16.5" customHeight="1">
      <c r="A725" s="93"/>
      <c r="H725" s="93"/>
    </row>
    <row r="726" spans="1:8" ht="16.5" customHeight="1">
      <c r="A726" s="93"/>
    </row>
    <row r="727" spans="1:8" ht="16.5" customHeight="1">
      <c r="A727" s="93"/>
      <c r="B727" s="565" t="s">
        <v>2209</v>
      </c>
      <c r="C727" s="565"/>
      <c r="D727" s="565"/>
      <c r="E727" s="565"/>
      <c r="F727" s="565"/>
      <c r="G727" s="565"/>
    </row>
    <row r="728" spans="1:8" ht="16.5" customHeight="1">
      <c r="A728" s="93"/>
      <c r="B728" s="95" t="s">
        <v>2210</v>
      </c>
      <c r="C728" s="96" t="s">
        <v>2211</v>
      </c>
      <c r="D728" s="96" t="s">
        <v>2212</v>
      </c>
      <c r="E728" s="96" t="s">
        <v>2213</v>
      </c>
      <c r="F728" s="96" t="s">
        <v>2214</v>
      </c>
      <c r="G728" s="304" t="s">
        <v>2215</v>
      </c>
    </row>
    <row r="729" spans="1:8" ht="16.5" customHeight="1">
      <c r="A729" s="93"/>
      <c r="B729" s="305" t="s">
        <v>1720</v>
      </c>
      <c r="C729" s="110">
        <v>302</v>
      </c>
      <c r="D729" s="110">
        <v>30</v>
      </c>
      <c r="E729" s="110">
        <f>MROUND(C729,D729)</f>
        <v>300</v>
      </c>
      <c r="F729" s="110">
        <f>C729-E729</f>
        <v>2</v>
      </c>
      <c r="G729" s="101">
        <f>E729/D729</f>
        <v>10</v>
      </c>
    </row>
    <row r="730" spans="1:8" ht="16.5" customHeight="1">
      <c r="A730" s="93"/>
      <c r="B730" s="305" t="s">
        <v>1724</v>
      </c>
      <c r="C730" s="110">
        <v>66</v>
      </c>
      <c r="D730" s="110">
        <v>12</v>
      </c>
      <c r="E730" s="110">
        <f>MROUND(C730,D730)</f>
        <v>72</v>
      </c>
      <c r="F730" s="110">
        <f>C730-E730</f>
        <v>-6</v>
      </c>
      <c r="G730" s="101">
        <f>E730/D730</f>
        <v>6</v>
      </c>
    </row>
    <row r="731" spans="1:8" ht="16.5" customHeight="1">
      <c r="A731" s="93"/>
      <c r="B731" s="305" t="s">
        <v>1725</v>
      </c>
      <c r="C731" s="110">
        <v>78</v>
      </c>
      <c r="D731" s="110">
        <v>12</v>
      </c>
      <c r="E731" s="110">
        <f>MROUND(C731,D731)</f>
        <v>84</v>
      </c>
      <c r="F731" s="110">
        <f>C731-E731</f>
        <v>-6</v>
      </c>
      <c r="G731" s="101">
        <f>E731/D731</f>
        <v>7</v>
      </c>
    </row>
    <row r="732" spans="1:8" ht="16.5" customHeight="1">
      <c r="A732" s="93"/>
      <c r="B732" s="105" t="s">
        <v>1721</v>
      </c>
      <c r="C732" s="113">
        <v>298</v>
      </c>
      <c r="D732" s="113">
        <v>30</v>
      </c>
      <c r="E732" s="113">
        <f>MROUND(C732,D732)</f>
        <v>300</v>
      </c>
      <c r="F732" s="113">
        <f>C732-E732</f>
        <v>-2</v>
      </c>
      <c r="G732" s="107">
        <f>E732/D732</f>
        <v>10</v>
      </c>
    </row>
    <row r="733" spans="1:8" ht="16.5" customHeight="1">
      <c r="B733" s="93"/>
      <c r="C733" s="93"/>
      <c r="D733" s="93"/>
      <c r="E733" s="104" t="s">
        <v>1238</v>
      </c>
      <c r="F733" s="93"/>
      <c r="G733" s="93"/>
    </row>
    <row r="734" spans="1:8" ht="16.5" customHeight="1">
      <c r="B734" s="93"/>
      <c r="D734" s="93"/>
      <c r="E734" s="108" t="s">
        <v>2232</v>
      </c>
      <c r="F734" s="93"/>
      <c r="G734" s="93"/>
    </row>
    <row r="789" spans="1:6">
      <c r="F789" s="18"/>
    </row>
    <row r="800" spans="1:6" s="88" customFormat="1" ht="26.25" customHeight="1">
      <c r="A800" s="498" t="s">
        <v>132</v>
      </c>
      <c r="B800" s="498"/>
      <c r="C800" s="499"/>
      <c r="D800" s="87"/>
      <c r="E800" s="500" t="str">
        <f>HYPERLINK("#目录!A77","跳转回到目录页")</f>
        <v>跳转回到目录页</v>
      </c>
      <c r="F800" s="501"/>
    </row>
    <row r="801" spans="1:13" s="88" customFormat="1" ht="26.25" customHeight="1">
      <c r="A801" s="502" t="s">
        <v>1216</v>
      </c>
      <c r="B801" s="502"/>
      <c r="C801" s="503" t="s">
        <v>133</v>
      </c>
      <c r="D801" s="503"/>
      <c r="E801" s="503"/>
      <c r="F801" s="503"/>
      <c r="G801" s="503"/>
      <c r="H801" s="503"/>
      <c r="I801" s="503"/>
      <c r="J801" s="503"/>
      <c r="K801" s="503"/>
      <c r="L801" s="503"/>
      <c r="M801" s="503"/>
    </row>
    <row r="802" spans="1:13" s="88" customFormat="1" ht="16.5" customHeight="1">
      <c r="A802" s="496" t="s">
        <v>1217</v>
      </c>
      <c r="B802" s="496"/>
      <c r="C802" s="493" t="s">
        <v>2233</v>
      </c>
      <c r="D802" s="493"/>
      <c r="E802" s="493"/>
      <c r="F802" s="493"/>
      <c r="G802" s="493"/>
      <c r="H802" s="493"/>
      <c r="I802" s="493"/>
      <c r="J802" s="493"/>
      <c r="K802" s="493"/>
      <c r="L802" s="493"/>
      <c r="M802" s="493"/>
    </row>
    <row r="803" spans="1:13" s="88" customFormat="1" ht="16.5" customHeight="1">
      <c r="A803" s="496" t="s">
        <v>5786</v>
      </c>
      <c r="B803" s="496"/>
      <c r="C803" s="497" t="s">
        <v>2234</v>
      </c>
      <c r="D803" s="497"/>
      <c r="E803" s="497"/>
      <c r="F803" s="497"/>
      <c r="G803" s="497"/>
      <c r="H803" s="497"/>
      <c r="I803" s="497"/>
      <c r="J803" s="497"/>
      <c r="K803" s="497"/>
      <c r="L803" s="497"/>
      <c r="M803" s="497"/>
    </row>
    <row r="804" spans="1:13" s="88" customFormat="1" ht="16.5" customHeight="1">
      <c r="A804" s="496" t="s">
        <v>1220</v>
      </c>
      <c r="B804" s="496"/>
      <c r="C804" s="493" t="s">
        <v>2235</v>
      </c>
      <c r="D804" s="493"/>
      <c r="E804" s="493"/>
      <c r="F804" s="493"/>
      <c r="G804" s="493"/>
      <c r="H804" s="493"/>
      <c r="I804" s="493"/>
      <c r="J804" s="493"/>
      <c r="K804" s="493"/>
      <c r="L804" s="493"/>
      <c r="M804" s="493"/>
    </row>
    <row r="805" spans="1:13" s="88" customFormat="1" ht="16.5" customHeight="1">
      <c r="A805" s="496" t="s">
        <v>5785</v>
      </c>
      <c r="B805" s="496"/>
      <c r="C805" s="493" t="s">
        <v>2236</v>
      </c>
      <c r="D805" s="493"/>
      <c r="E805" s="493"/>
      <c r="F805" s="493"/>
      <c r="G805" s="493"/>
      <c r="H805" s="493"/>
      <c r="I805" s="493"/>
      <c r="J805" s="493"/>
      <c r="K805" s="493"/>
      <c r="L805" s="493"/>
      <c r="M805" s="493"/>
    </row>
    <row r="806" spans="1:13" s="88" customFormat="1" ht="16.5" customHeight="1">
      <c r="A806" s="89" t="s">
        <v>1223</v>
      </c>
      <c r="B806" s="92" t="s">
        <v>2200</v>
      </c>
      <c r="C806" s="493" t="s">
        <v>2237</v>
      </c>
      <c r="D806" s="493"/>
      <c r="E806" s="493"/>
      <c r="F806" s="493"/>
      <c r="G806" s="493"/>
      <c r="H806" s="493"/>
      <c r="I806" s="493"/>
      <c r="J806" s="493"/>
      <c r="K806" s="493"/>
      <c r="L806" s="493"/>
      <c r="M806" s="493"/>
    </row>
    <row r="807" spans="1:13" s="88" customFormat="1" ht="16.5" customHeight="1">
      <c r="A807" s="89"/>
      <c r="B807" s="92"/>
      <c r="C807" s="493"/>
      <c r="D807" s="493"/>
      <c r="E807" s="493"/>
      <c r="F807" s="493"/>
      <c r="G807" s="493"/>
      <c r="H807" s="493"/>
      <c r="I807" s="493"/>
      <c r="J807" s="493"/>
      <c r="K807" s="493"/>
      <c r="L807" s="493"/>
      <c r="M807" s="493"/>
    </row>
    <row r="808" spans="1:13" s="88" customFormat="1" ht="16.5" customHeight="1">
      <c r="A808" s="89"/>
      <c r="B808" s="90"/>
      <c r="C808" s="493"/>
      <c r="D808" s="493"/>
      <c r="E808" s="493"/>
      <c r="F808" s="493"/>
      <c r="G808" s="493"/>
      <c r="H808" s="493"/>
      <c r="I808" s="493"/>
      <c r="J808" s="493"/>
      <c r="K808" s="493"/>
      <c r="L808" s="493"/>
      <c r="M808" s="493"/>
    </row>
    <row r="809" spans="1:13" s="88" customFormat="1" ht="24.75" customHeight="1">
      <c r="A809" s="89" t="s">
        <v>1228</v>
      </c>
      <c r="B809" s="493" t="s">
        <v>2238</v>
      </c>
      <c r="C809" s="493"/>
      <c r="D809" s="493"/>
      <c r="E809" s="493"/>
      <c r="F809" s="493"/>
      <c r="G809" s="493"/>
      <c r="H809" s="493"/>
      <c r="I809" s="493"/>
      <c r="J809" s="493"/>
      <c r="K809" s="493"/>
      <c r="L809" s="493"/>
      <c r="M809" s="493"/>
    </row>
    <row r="810" spans="1:13" ht="16.5" customHeight="1">
      <c r="A810" s="89" t="s">
        <v>1229</v>
      </c>
      <c r="B810" s="493" t="s">
        <v>2113</v>
      </c>
      <c r="C810" s="493"/>
      <c r="D810" s="493"/>
      <c r="E810" s="493"/>
      <c r="F810" s="493"/>
      <c r="G810" s="493"/>
      <c r="H810" s="493"/>
      <c r="I810" s="493"/>
      <c r="J810" s="493"/>
      <c r="K810" s="493"/>
      <c r="L810" s="493"/>
      <c r="M810" s="493"/>
    </row>
    <row r="811" spans="1:13" ht="21" customHeight="1">
      <c r="B811" s="494" t="s">
        <v>1231</v>
      </c>
      <c r="C811" s="494"/>
      <c r="D811" s="494"/>
      <c r="E811" s="494"/>
      <c r="F811" s="494"/>
      <c r="G811" s="494"/>
      <c r="H811" s="494"/>
      <c r="I811" s="494"/>
      <c r="J811" s="494"/>
      <c r="K811" s="494"/>
      <c r="L811" s="495"/>
    </row>
    <row r="812" spans="1:13" s="93" customFormat="1" ht="16.5" customHeight="1"/>
    <row r="813" spans="1:13" s="93" customFormat="1" ht="16.5" customHeight="1">
      <c r="A813" s="94" t="s">
        <v>1232</v>
      </c>
      <c r="B813" s="93" t="s">
        <v>1773</v>
      </c>
      <c r="G813" s="4"/>
    </row>
    <row r="814" spans="1:13" s="93" customFormat="1" ht="16.5" customHeight="1"/>
    <row r="815" spans="1:13" s="93" customFormat="1" ht="16.5" customHeight="1">
      <c r="B815" s="518" t="s">
        <v>133</v>
      </c>
      <c r="C815" s="518"/>
      <c r="D815" s="518"/>
      <c r="E815" s="518"/>
      <c r="F815" s="518"/>
      <c r="G815" s="518"/>
      <c r="H815" s="518"/>
    </row>
    <row r="816" spans="1:13" s="93" customFormat="1" ht="16.5" customHeight="1">
      <c r="B816" s="95" t="s">
        <v>2087</v>
      </c>
      <c r="C816" s="188">
        <v>8</v>
      </c>
      <c r="D816" s="188">
        <v>4.05</v>
      </c>
      <c r="E816" s="188">
        <v>0</v>
      </c>
      <c r="F816" s="188">
        <v>-0.1</v>
      </c>
      <c r="G816" s="188">
        <v>-1.99</v>
      </c>
      <c r="H816" s="138">
        <v>-5</v>
      </c>
      <c r="I816" s="104" t="s">
        <v>1238</v>
      </c>
    </row>
    <row r="817" spans="2:9" s="93" customFormat="1" ht="16.5" customHeight="1">
      <c r="B817" s="151" t="s">
        <v>1456</v>
      </c>
      <c r="C817" s="113">
        <f t="shared" ref="C817:H817" si="6">EVEN(C816)</f>
        <v>8</v>
      </c>
      <c r="D817" s="113">
        <f t="shared" si="6"/>
        <v>6</v>
      </c>
      <c r="E817" s="113">
        <f t="shared" si="6"/>
        <v>0</v>
      </c>
      <c r="F817" s="113">
        <f t="shared" si="6"/>
        <v>-2</v>
      </c>
      <c r="G817" s="113">
        <f t="shared" si="6"/>
        <v>-2</v>
      </c>
      <c r="H817" s="107">
        <f t="shared" si="6"/>
        <v>-6</v>
      </c>
      <c r="I817" s="108" t="s">
        <v>2239</v>
      </c>
    </row>
    <row r="818" spans="2:9" s="93" customFormat="1" ht="16.5" customHeight="1"/>
    <row r="819" spans="2:9" s="93" customFormat="1" ht="16.5" customHeight="1"/>
    <row r="820" spans="2:9" s="93" customFormat="1" ht="16.5" customHeight="1"/>
    <row r="821" spans="2:9" s="93" customFormat="1" ht="16.5" customHeight="1">
      <c r="G821" s="170"/>
    </row>
    <row r="822" spans="2:9" ht="16.5" customHeight="1">
      <c r="G822" s="189"/>
    </row>
    <row r="823" spans="2:9" ht="16.5" customHeight="1">
      <c r="G823" s="189"/>
    </row>
    <row r="824" spans="2:9" ht="16.5" customHeight="1">
      <c r="G824" s="189"/>
    </row>
    <row r="825" spans="2:9" ht="16.5" customHeight="1"/>
    <row r="826" spans="2:9" ht="16.5" customHeight="1">
      <c r="G826" s="18"/>
    </row>
    <row r="827" spans="2:9" ht="16.5" customHeight="1"/>
    <row r="828" spans="2:9" ht="16.5" customHeight="1"/>
    <row r="900" spans="1:13" s="88" customFormat="1" ht="26.25" customHeight="1">
      <c r="A900" s="498" t="s">
        <v>134</v>
      </c>
      <c r="B900" s="498"/>
      <c r="C900" s="499"/>
      <c r="D900" s="87"/>
      <c r="E900" s="500" t="str">
        <f>HYPERLINK("#目录!A78","跳转回到目录页")</f>
        <v>跳转回到目录页</v>
      </c>
      <c r="F900" s="501"/>
    </row>
    <row r="901" spans="1:13" s="88" customFormat="1" ht="26.25" customHeight="1">
      <c r="A901" s="502" t="s">
        <v>1216</v>
      </c>
      <c r="B901" s="502"/>
      <c r="C901" s="503" t="s">
        <v>135</v>
      </c>
      <c r="D901" s="503"/>
      <c r="E901" s="503"/>
      <c r="F901" s="503"/>
      <c r="G901" s="503"/>
      <c r="H901" s="503"/>
      <c r="I901" s="503"/>
      <c r="J901" s="503"/>
      <c r="K901" s="503"/>
      <c r="L901" s="503"/>
      <c r="M901" s="503"/>
    </row>
    <row r="902" spans="1:13" s="88" customFormat="1" ht="16.5" customHeight="1">
      <c r="A902" s="496" t="s">
        <v>1217</v>
      </c>
      <c r="B902" s="496"/>
      <c r="C902" s="493" t="s">
        <v>2240</v>
      </c>
      <c r="D902" s="493"/>
      <c r="E902" s="493"/>
      <c r="F902" s="493"/>
      <c r="G902" s="493"/>
      <c r="H902" s="493"/>
      <c r="I902" s="493"/>
      <c r="J902" s="493"/>
      <c r="K902" s="493"/>
      <c r="L902" s="493"/>
      <c r="M902" s="493"/>
    </row>
    <row r="903" spans="1:13" s="88" customFormat="1" ht="16.5" customHeight="1">
      <c r="A903" s="496" t="s">
        <v>5786</v>
      </c>
      <c r="B903" s="496"/>
      <c r="C903" s="497" t="s">
        <v>2241</v>
      </c>
      <c r="D903" s="497"/>
      <c r="E903" s="497"/>
      <c r="F903" s="497"/>
      <c r="G903" s="497"/>
      <c r="H903" s="497"/>
      <c r="I903" s="497"/>
      <c r="J903" s="497"/>
      <c r="K903" s="497"/>
      <c r="L903" s="497"/>
      <c r="M903" s="497"/>
    </row>
    <row r="904" spans="1:13" s="88" customFormat="1" ht="16.5" customHeight="1">
      <c r="A904" s="496" t="s">
        <v>1220</v>
      </c>
      <c r="B904" s="496"/>
      <c r="C904" s="493" t="s">
        <v>2242</v>
      </c>
      <c r="D904" s="493"/>
      <c r="E904" s="493"/>
      <c r="F904" s="493"/>
      <c r="G904" s="493"/>
      <c r="H904" s="493"/>
      <c r="I904" s="493"/>
      <c r="J904" s="493"/>
      <c r="K904" s="493"/>
      <c r="L904" s="493"/>
      <c r="M904" s="493"/>
    </row>
    <row r="905" spans="1:13" s="88" customFormat="1" ht="16.5" customHeight="1">
      <c r="A905" s="496" t="s">
        <v>5785</v>
      </c>
      <c r="B905" s="496"/>
      <c r="C905" s="493" t="s">
        <v>2243</v>
      </c>
      <c r="D905" s="493"/>
      <c r="E905" s="493"/>
      <c r="F905" s="493"/>
      <c r="G905" s="493"/>
      <c r="H905" s="493"/>
      <c r="I905" s="493"/>
      <c r="J905" s="493"/>
      <c r="K905" s="493"/>
      <c r="L905" s="493"/>
      <c r="M905" s="493"/>
    </row>
    <row r="906" spans="1:13" s="88" customFormat="1" ht="16.5" customHeight="1">
      <c r="A906" s="89" t="s">
        <v>1223</v>
      </c>
      <c r="B906" s="92" t="s">
        <v>2200</v>
      </c>
      <c r="C906" s="493" t="s">
        <v>2237</v>
      </c>
      <c r="D906" s="493"/>
      <c r="E906" s="493"/>
      <c r="F906" s="493"/>
      <c r="G906" s="493"/>
      <c r="H906" s="493"/>
      <c r="I906" s="493"/>
      <c r="J906" s="493"/>
      <c r="K906" s="493"/>
      <c r="L906" s="493"/>
      <c r="M906" s="493"/>
    </row>
    <row r="907" spans="1:13" s="88" customFormat="1" ht="16.5" customHeight="1">
      <c r="A907" s="89"/>
      <c r="B907" s="92"/>
      <c r="C907" s="493"/>
      <c r="D907" s="493"/>
      <c r="E907" s="493"/>
      <c r="F907" s="493"/>
      <c r="G907" s="493"/>
      <c r="H907" s="493"/>
      <c r="I907" s="493"/>
      <c r="J907" s="493"/>
      <c r="K907" s="493"/>
      <c r="L907" s="493"/>
      <c r="M907" s="493"/>
    </row>
    <row r="908" spans="1:13" s="88" customFormat="1" ht="16.5" customHeight="1">
      <c r="A908" s="89"/>
      <c r="B908" s="90"/>
      <c r="C908" s="493"/>
      <c r="D908" s="493"/>
      <c r="E908" s="493"/>
      <c r="F908" s="493"/>
      <c r="G908" s="493"/>
      <c r="H908" s="493"/>
      <c r="I908" s="493"/>
      <c r="J908" s="493"/>
      <c r="K908" s="493"/>
      <c r="L908" s="493"/>
      <c r="M908" s="493"/>
    </row>
    <row r="909" spans="1:13" s="88" customFormat="1" ht="24.75" customHeight="1">
      <c r="A909" s="89" t="s">
        <v>1228</v>
      </c>
      <c r="B909" s="493" t="s">
        <v>2244</v>
      </c>
      <c r="C909" s="493"/>
      <c r="D909" s="493"/>
      <c r="E909" s="493"/>
      <c r="F909" s="493"/>
      <c r="G909" s="493"/>
      <c r="H909" s="493"/>
      <c r="I909" s="493"/>
      <c r="J909" s="493"/>
      <c r="K909" s="493"/>
      <c r="L909" s="493"/>
      <c r="M909" s="493"/>
    </row>
    <row r="910" spans="1:13" ht="16.5" customHeight="1">
      <c r="A910" s="89" t="s">
        <v>1229</v>
      </c>
      <c r="B910" s="493" t="s">
        <v>2113</v>
      </c>
      <c r="C910" s="493"/>
      <c r="D910" s="493"/>
      <c r="E910" s="493"/>
      <c r="F910" s="493"/>
      <c r="G910" s="493"/>
      <c r="H910" s="493"/>
      <c r="I910" s="493"/>
      <c r="J910" s="493"/>
      <c r="K910" s="493"/>
      <c r="L910" s="493"/>
      <c r="M910" s="493"/>
    </row>
    <row r="911" spans="1:13" ht="21" customHeight="1">
      <c r="B911" s="494" t="s">
        <v>1231</v>
      </c>
      <c r="C911" s="494"/>
      <c r="D911" s="494"/>
      <c r="E911" s="494"/>
      <c r="F911" s="494"/>
      <c r="G911" s="494"/>
      <c r="H911" s="494"/>
      <c r="I911" s="494"/>
      <c r="J911" s="494"/>
      <c r="K911" s="494"/>
      <c r="L911" s="495"/>
    </row>
    <row r="912" spans="1:13" s="93" customFormat="1" ht="16.5" customHeight="1"/>
    <row r="913" spans="1:9" s="93" customFormat="1" ht="16.5" customHeight="1">
      <c r="A913" s="94" t="s">
        <v>1232</v>
      </c>
      <c r="B913" s="93" t="s">
        <v>1773</v>
      </c>
      <c r="G913" s="4"/>
    </row>
    <row r="914" spans="1:9" ht="16.5" customHeight="1"/>
    <row r="915" spans="1:9" ht="16.5" customHeight="1">
      <c r="B915" s="518" t="s">
        <v>133</v>
      </c>
      <c r="C915" s="518"/>
      <c r="D915" s="518"/>
      <c r="E915" s="518"/>
      <c r="F915" s="518"/>
      <c r="G915" s="518"/>
      <c r="H915" s="518"/>
    </row>
    <row r="916" spans="1:9" ht="16.5" customHeight="1">
      <c r="B916" s="95" t="s">
        <v>2087</v>
      </c>
      <c r="C916" s="188">
        <v>8</v>
      </c>
      <c r="D916" s="188">
        <v>4.05</v>
      </c>
      <c r="E916" s="188">
        <v>0</v>
      </c>
      <c r="F916" s="188">
        <v>-0.1</v>
      </c>
      <c r="G916" s="188">
        <v>-1.99</v>
      </c>
      <c r="H916" s="138">
        <v>-5</v>
      </c>
      <c r="I916" s="104" t="s">
        <v>1238</v>
      </c>
    </row>
    <row r="917" spans="1:9" ht="16.5" customHeight="1">
      <c r="B917" s="151" t="s">
        <v>1456</v>
      </c>
      <c r="C917" s="113">
        <f t="shared" ref="C917:H917" si="7">ODD(C916)</f>
        <v>9</v>
      </c>
      <c r="D917" s="113">
        <f t="shared" si="7"/>
        <v>5</v>
      </c>
      <c r="E917" s="113">
        <f t="shared" si="7"/>
        <v>1</v>
      </c>
      <c r="F917" s="113">
        <f t="shared" si="7"/>
        <v>-1</v>
      </c>
      <c r="G917" s="113">
        <f t="shared" si="7"/>
        <v>-3</v>
      </c>
      <c r="H917" s="107">
        <f t="shared" si="7"/>
        <v>-5</v>
      </c>
      <c r="I917" s="108" t="s">
        <v>2245</v>
      </c>
    </row>
    <row r="918" spans="1:9" ht="16.5" customHeight="1"/>
    <row r="921" spans="1:9">
      <c r="G921" s="18"/>
    </row>
    <row r="922" spans="1:9">
      <c r="G922" s="189"/>
    </row>
    <row r="923" spans="1:9">
      <c r="G923" s="189"/>
    </row>
    <row r="924" spans="1:9">
      <c r="G924" s="189"/>
    </row>
    <row r="926" spans="1:9">
      <c r="G926" s="18"/>
    </row>
  </sheetData>
  <mergeCells count="193">
    <mergeCell ref="A1:C1"/>
    <mergeCell ref="E1:F1"/>
    <mergeCell ref="A2:B2"/>
    <mergeCell ref="C2:M2"/>
    <mergeCell ref="A3:B3"/>
    <mergeCell ref="C3:M3"/>
    <mergeCell ref="C7:M7"/>
    <mergeCell ref="B8:M8"/>
    <mergeCell ref="B9:M9"/>
    <mergeCell ref="B10:L10"/>
    <mergeCell ref="A100:C100"/>
    <mergeCell ref="E100:F100"/>
    <mergeCell ref="A4:B4"/>
    <mergeCell ref="C4:M4"/>
    <mergeCell ref="A5:B5"/>
    <mergeCell ref="C5:M5"/>
    <mergeCell ref="A6:B6"/>
    <mergeCell ref="C6:M6"/>
    <mergeCell ref="A104:B104"/>
    <mergeCell ref="C104:M104"/>
    <mergeCell ref="A105:B105"/>
    <mergeCell ref="C105:M105"/>
    <mergeCell ref="C106:M106"/>
    <mergeCell ref="C107:M107"/>
    <mergeCell ref="A101:B101"/>
    <mergeCell ref="C101:M101"/>
    <mergeCell ref="A102:B102"/>
    <mergeCell ref="C102:M102"/>
    <mergeCell ref="A103:B103"/>
    <mergeCell ref="C103:M103"/>
    <mergeCell ref="B134:D134"/>
    <mergeCell ref="A200:C200"/>
    <mergeCell ref="E200:F200"/>
    <mergeCell ref="A201:B201"/>
    <mergeCell ref="C201:M201"/>
    <mergeCell ref="A202:B202"/>
    <mergeCell ref="C202:M202"/>
    <mergeCell ref="C108:M108"/>
    <mergeCell ref="B109:M109"/>
    <mergeCell ref="B110:M110"/>
    <mergeCell ref="B111:L111"/>
    <mergeCell ref="H116:I116"/>
    <mergeCell ref="B133:D133"/>
    <mergeCell ref="C206:M206"/>
    <mergeCell ref="C207:M207"/>
    <mergeCell ref="C208:M208"/>
    <mergeCell ref="B209:M209"/>
    <mergeCell ref="B210:M210"/>
    <mergeCell ref="B211:L211"/>
    <mergeCell ref="A203:B203"/>
    <mergeCell ref="C203:M203"/>
    <mergeCell ref="A204:B204"/>
    <mergeCell ref="C204:M204"/>
    <mergeCell ref="A205:B205"/>
    <mergeCell ref="C205:M205"/>
    <mergeCell ref="A303:B303"/>
    <mergeCell ref="C303:M303"/>
    <mergeCell ref="A304:B304"/>
    <mergeCell ref="C304:M304"/>
    <mergeCell ref="A305:B305"/>
    <mergeCell ref="C305:M305"/>
    <mergeCell ref="H216:I216"/>
    <mergeCell ref="A300:C300"/>
    <mergeCell ref="E300:F300"/>
    <mergeCell ref="A301:B301"/>
    <mergeCell ref="C301:M301"/>
    <mergeCell ref="A302:B302"/>
    <mergeCell ref="C302:M302"/>
    <mergeCell ref="H316:I316"/>
    <mergeCell ref="A400:C400"/>
    <mergeCell ref="E400:F400"/>
    <mergeCell ref="A401:B401"/>
    <mergeCell ref="C401:M401"/>
    <mergeCell ref="A402:B402"/>
    <mergeCell ref="C402:M402"/>
    <mergeCell ref="C306:M306"/>
    <mergeCell ref="C307:M307"/>
    <mergeCell ref="C308:M308"/>
    <mergeCell ref="B309:M309"/>
    <mergeCell ref="B310:M310"/>
    <mergeCell ref="B311:L311"/>
    <mergeCell ref="C406:M406"/>
    <mergeCell ref="C407:M407"/>
    <mergeCell ref="C408:M408"/>
    <mergeCell ref="B409:M409"/>
    <mergeCell ref="B410:M410"/>
    <mergeCell ref="B411:L411"/>
    <mergeCell ref="A403:B403"/>
    <mergeCell ref="C403:M403"/>
    <mergeCell ref="A404:B404"/>
    <mergeCell ref="C404:M404"/>
    <mergeCell ref="A405:B405"/>
    <mergeCell ref="C405:M405"/>
    <mergeCell ref="A503:B503"/>
    <mergeCell ref="C503:M503"/>
    <mergeCell ref="A504:B504"/>
    <mergeCell ref="C504:M504"/>
    <mergeCell ref="A505:B505"/>
    <mergeCell ref="C505:M505"/>
    <mergeCell ref="H416:I416"/>
    <mergeCell ref="A500:C500"/>
    <mergeCell ref="E500:F500"/>
    <mergeCell ref="A501:B501"/>
    <mergeCell ref="C501:M501"/>
    <mergeCell ref="A502:B502"/>
    <mergeCell ref="C502:M502"/>
    <mergeCell ref="B522:G522"/>
    <mergeCell ref="A600:C600"/>
    <mergeCell ref="E600:F600"/>
    <mergeCell ref="A601:B601"/>
    <mergeCell ref="C601:M601"/>
    <mergeCell ref="A602:B602"/>
    <mergeCell ref="C602:M602"/>
    <mergeCell ref="C506:M506"/>
    <mergeCell ref="C507:M507"/>
    <mergeCell ref="C508:M508"/>
    <mergeCell ref="B509:M509"/>
    <mergeCell ref="B510:M510"/>
    <mergeCell ref="B511:L511"/>
    <mergeCell ref="C606:M606"/>
    <mergeCell ref="C607:M607"/>
    <mergeCell ref="C608:M608"/>
    <mergeCell ref="B609:M609"/>
    <mergeCell ref="B610:M610"/>
    <mergeCell ref="B611:L611"/>
    <mergeCell ref="A603:B603"/>
    <mergeCell ref="C603:M603"/>
    <mergeCell ref="A604:B604"/>
    <mergeCell ref="C604:M604"/>
    <mergeCell ref="A605:B605"/>
    <mergeCell ref="C605:M605"/>
    <mergeCell ref="A702:B702"/>
    <mergeCell ref="C702:M702"/>
    <mergeCell ref="A703:B703"/>
    <mergeCell ref="C703:M703"/>
    <mergeCell ref="A704:B704"/>
    <mergeCell ref="C704:M704"/>
    <mergeCell ref="B615:F615"/>
    <mergeCell ref="B625:G625"/>
    <mergeCell ref="A700:C700"/>
    <mergeCell ref="E700:F700"/>
    <mergeCell ref="A701:B701"/>
    <mergeCell ref="C701:M701"/>
    <mergeCell ref="B710:M710"/>
    <mergeCell ref="B711:L711"/>
    <mergeCell ref="B715:F715"/>
    <mergeCell ref="B727:G727"/>
    <mergeCell ref="A800:C800"/>
    <mergeCell ref="E800:F800"/>
    <mergeCell ref="A705:B705"/>
    <mergeCell ref="C705:M705"/>
    <mergeCell ref="C706:M706"/>
    <mergeCell ref="C707:M707"/>
    <mergeCell ref="C708:M708"/>
    <mergeCell ref="B709:M709"/>
    <mergeCell ref="A900:C900"/>
    <mergeCell ref="E900:F900"/>
    <mergeCell ref="A804:B804"/>
    <mergeCell ref="C804:M804"/>
    <mergeCell ref="A805:B805"/>
    <mergeCell ref="C805:M805"/>
    <mergeCell ref="C806:M806"/>
    <mergeCell ref="C807:M807"/>
    <mergeCell ref="A801:B801"/>
    <mergeCell ref="C801:M801"/>
    <mergeCell ref="A802:B802"/>
    <mergeCell ref="C802:M802"/>
    <mergeCell ref="A803:B803"/>
    <mergeCell ref="C803:M803"/>
    <mergeCell ref="C908:M908"/>
    <mergeCell ref="B909:M909"/>
    <mergeCell ref="B910:M910"/>
    <mergeCell ref="B911:L911"/>
    <mergeCell ref="B915:H915"/>
    <mergeCell ref="F13:F14"/>
    <mergeCell ref="G13:J14"/>
    <mergeCell ref="A904:B904"/>
    <mergeCell ref="C904:M904"/>
    <mergeCell ref="A905:B905"/>
    <mergeCell ref="C905:M905"/>
    <mergeCell ref="C906:M906"/>
    <mergeCell ref="C907:M907"/>
    <mergeCell ref="A901:B901"/>
    <mergeCell ref="C901:M901"/>
    <mergeCell ref="A902:B902"/>
    <mergeCell ref="C902:M902"/>
    <mergeCell ref="A903:B903"/>
    <mergeCell ref="C903:M903"/>
    <mergeCell ref="C808:M808"/>
    <mergeCell ref="B809:M809"/>
    <mergeCell ref="B810:M810"/>
    <mergeCell ref="B811:L811"/>
    <mergeCell ref="B815:H815"/>
  </mergeCells>
  <phoneticPr fontId="2" type="noConversion"/>
  <pageMargins left="0.75" right="0.75" top="1" bottom="1" header="0.5" footer="0.5"/>
  <pageSetup paperSize="9" orientation="portrait" horizontalDpi="0" verticalDpi="0"/>
  <headerFooter scaleWithDoc="0"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V158"/>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137</v>
      </c>
      <c r="B1" s="498"/>
      <c r="C1" s="499"/>
      <c r="D1" s="87"/>
      <c r="E1" s="500" t="str">
        <f>HYPERLINK("#目录!A80","跳转回到目录页")</f>
        <v>跳转回到目录页</v>
      </c>
      <c r="F1" s="501"/>
    </row>
    <row r="2" spans="1:48" s="88" customFormat="1" ht="26.25" customHeight="1">
      <c r="A2" s="502" t="s">
        <v>1216</v>
      </c>
      <c r="B2" s="502"/>
      <c r="C2" s="503" t="s">
        <v>138</v>
      </c>
      <c r="D2" s="503"/>
      <c r="E2" s="503"/>
      <c r="F2" s="503"/>
      <c r="G2" s="503"/>
      <c r="H2" s="503"/>
      <c r="I2" s="503"/>
      <c r="J2" s="503"/>
      <c r="K2" s="503"/>
      <c r="L2" s="503"/>
      <c r="M2" s="503"/>
    </row>
    <row r="3" spans="1:48" s="88" customFormat="1" ht="16.5" customHeight="1">
      <c r="A3" s="496" t="s">
        <v>1217</v>
      </c>
      <c r="B3" s="496"/>
      <c r="C3" s="493" t="s">
        <v>2246</v>
      </c>
      <c r="D3" s="493"/>
      <c r="E3" s="493"/>
      <c r="F3" s="493"/>
      <c r="G3" s="493"/>
      <c r="H3" s="493"/>
      <c r="I3" s="493"/>
      <c r="J3" s="493"/>
      <c r="K3" s="493"/>
      <c r="L3" s="493"/>
      <c r="M3" s="493"/>
    </row>
    <row r="4" spans="1:48" s="88" customFormat="1" ht="16.5" customHeight="1">
      <c r="A4" s="496" t="s">
        <v>5786</v>
      </c>
      <c r="B4" s="496"/>
      <c r="C4" s="497" t="s">
        <v>5943</v>
      </c>
      <c r="D4" s="497"/>
      <c r="E4" s="497"/>
      <c r="F4" s="497"/>
      <c r="G4" s="497"/>
      <c r="H4" s="497"/>
      <c r="I4" s="497"/>
      <c r="J4" s="497"/>
      <c r="K4" s="497"/>
      <c r="L4" s="497"/>
      <c r="M4" s="497"/>
    </row>
    <row r="5" spans="1:48" s="88" customFormat="1" ht="16.5" customHeight="1">
      <c r="A5" s="496" t="s">
        <v>1220</v>
      </c>
      <c r="B5" s="496"/>
      <c r="C5" s="493" t="s">
        <v>2247</v>
      </c>
      <c r="D5" s="493"/>
      <c r="E5" s="493"/>
      <c r="F5" s="493"/>
      <c r="G5" s="493"/>
      <c r="H5" s="493"/>
      <c r="I5" s="493"/>
      <c r="J5" s="493"/>
      <c r="K5" s="493"/>
      <c r="L5" s="493"/>
      <c r="M5" s="493"/>
    </row>
    <row r="6" spans="1:48" s="88" customFormat="1" ht="16.5" customHeight="1">
      <c r="A6" s="496" t="s">
        <v>5785</v>
      </c>
      <c r="B6" s="496"/>
      <c r="C6" s="493" t="s">
        <v>2248</v>
      </c>
      <c r="D6" s="493"/>
      <c r="E6" s="493"/>
      <c r="F6" s="493"/>
      <c r="G6" s="493"/>
      <c r="H6" s="493"/>
      <c r="I6" s="493"/>
      <c r="J6" s="493"/>
      <c r="K6" s="493"/>
      <c r="L6" s="493"/>
      <c r="M6" s="493"/>
    </row>
    <row r="7" spans="1:48" s="88" customFormat="1" ht="16.5" customHeight="1">
      <c r="A7" s="89" t="s">
        <v>1223</v>
      </c>
      <c r="B7" s="92" t="s">
        <v>2249</v>
      </c>
      <c r="C7" s="493" t="s">
        <v>2250</v>
      </c>
      <c r="D7" s="493"/>
      <c r="E7" s="493"/>
      <c r="F7" s="493"/>
      <c r="G7" s="493"/>
      <c r="H7" s="493"/>
      <c r="I7" s="493"/>
      <c r="J7" s="493"/>
      <c r="K7" s="493"/>
      <c r="L7" s="493"/>
      <c r="M7" s="493"/>
    </row>
    <row r="8" spans="1:48" s="88" customFormat="1" ht="24.75" customHeight="1">
      <c r="A8" s="89"/>
      <c r="B8" s="92" t="s">
        <v>2251</v>
      </c>
      <c r="C8" s="493" t="s">
        <v>2252</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24.75" customHeight="1">
      <c r="A10" s="89" t="s">
        <v>1228</v>
      </c>
      <c r="B10" s="493" t="s">
        <v>2253</v>
      </c>
      <c r="C10" s="493"/>
      <c r="D10" s="493"/>
      <c r="E10" s="493"/>
      <c r="F10" s="493"/>
      <c r="G10" s="493"/>
      <c r="H10" s="493"/>
      <c r="I10" s="493"/>
      <c r="J10" s="493"/>
      <c r="K10" s="493"/>
      <c r="L10" s="493"/>
      <c r="M10" s="493"/>
    </row>
    <row r="11" spans="1:48" ht="16.5" customHeight="1">
      <c r="A11" s="89" t="s">
        <v>1229</v>
      </c>
      <c r="B11" s="493" t="s">
        <v>2230</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D15" s="93" t="s">
        <v>1431</v>
      </c>
      <c r="E15" s="104" t="s">
        <v>1238</v>
      </c>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187">
        <v>86</v>
      </c>
      <c r="C16" s="188">
        <v>9</v>
      </c>
      <c r="D16" s="138">
        <f t="shared" ref="D16:D22" si="0">QUOTIENT(B16,C16)</f>
        <v>9</v>
      </c>
      <c r="E16" s="158" t="s">
        <v>2254</v>
      </c>
      <c r="G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9">
        <v>2</v>
      </c>
      <c r="C17" s="110">
        <v>3</v>
      </c>
      <c r="D17" s="101">
        <f t="shared" si="0"/>
        <v>0</v>
      </c>
      <c r="E17" s="158" t="s">
        <v>2255</v>
      </c>
      <c r="G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v>-15</v>
      </c>
      <c r="C18" s="110">
        <v>6</v>
      </c>
      <c r="D18" s="101">
        <f t="shared" si="0"/>
        <v>-2</v>
      </c>
      <c r="E18" s="158" t="s">
        <v>2256</v>
      </c>
      <c r="G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24.8</v>
      </c>
      <c r="C19" s="110">
        <v>3</v>
      </c>
      <c r="D19" s="101">
        <f t="shared" si="0"/>
        <v>8</v>
      </c>
      <c r="E19" s="158" t="s">
        <v>2257</v>
      </c>
      <c r="G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v>3.5</v>
      </c>
      <c r="C20" s="110">
        <v>0.4</v>
      </c>
      <c r="D20" s="101">
        <f t="shared" si="0"/>
        <v>8</v>
      </c>
      <c r="E20" s="158" t="s">
        <v>2258</v>
      </c>
      <c r="G20" s="219"/>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v>3.5</v>
      </c>
      <c r="C21" s="110">
        <v>0</v>
      </c>
      <c r="D21" s="101" t="e">
        <f t="shared" si="0"/>
        <v>#DIV/0!</v>
      </c>
      <c r="E21" s="108" t="s">
        <v>2259</v>
      </c>
      <c r="G21" s="189"/>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05">
        <v>0</v>
      </c>
      <c r="C22" s="113">
        <v>0.4</v>
      </c>
      <c r="D22" s="107">
        <f t="shared" si="0"/>
        <v>0</v>
      </c>
      <c r="E22" s="108" t="s">
        <v>2260</v>
      </c>
      <c r="G22" s="189"/>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G23" s="189"/>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G24" s="189"/>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G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G26" s="18"/>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G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G28" s="18"/>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G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G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G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G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G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A34" s="94"/>
      <c r="G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A35" s="94"/>
      <c r="G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A36" s="94"/>
      <c r="G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A37" s="94"/>
      <c r="G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A38" s="94"/>
      <c r="G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A39" s="94"/>
      <c r="G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A40" s="94"/>
      <c r="G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A41" s="94"/>
      <c r="G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A42" s="94"/>
      <c r="G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A43" s="94"/>
      <c r="G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A44" s="94"/>
      <c r="G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A45" s="94"/>
      <c r="G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A46" s="94"/>
      <c r="G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A47" s="94"/>
      <c r="G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A48" s="94"/>
      <c r="G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A49" s="94"/>
      <c r="G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s="93" customFormat="1" ht="16.5" customHeight="1">
      <c r="A50" s="94"/>
      <c r="G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48" s="93" customFormat="1" ht="16.5" customHeight="1">
      <c r="A51" s="94"/>
      <c r="G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48" s="93" customFormat="1" ht="16.5" customHeight="1">
      <c r="A52" s="94"/>
      <c r="G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48" s="93" customFormat="1" ht="16.5" customHeight="1">
      <c r="A53" s="94"/>
      <c r="G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48" s="93" customFormat="1" ht="16.5" customHeight="1">
      <c r="A54" s="94"/>
      <c r="G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1:48" s="93" customFormat="1" ht="16.5" customHeight="1">
      <c r="A55" s="94"/>
      <c r="G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48" s="93" customFormat="1" ht="16.5" customHeight="1">
      <c r="A56" s="94"/>
      <c r="G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1:48" s="93" customFormat="1" ht="16.5" customHeight="1">
      <c r="A57" s="94"/>
      <c r="G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48" s="93" customFormat="1" ht="16.5" customHeight="1">
      <c r="A58" s="94"/>
      <c r="G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1:48" s="93" customFormat="1" ht="16.5" customHeight="1">
      <c r="A59" s="94"/>
      <c r="G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48" s="93" customFormat="1" ht="16.5" customHeight="1">
      <c r="A60" s="94"/>
      <c r="G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1:48" s="93" customFormat="1" ht="16.5" customHeight="1">
      <c r="A61" s="94"/>
      <c r="G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48" s="93" customFormat="1" ht="16.5" customHeight="1">
      <c r="A62" s="94"/>
      <c r="G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1:48" s="93" customFormat="1" ht="16.5" customHeight="1">
      <c r="A63" s="94"/>
      <c r="G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48" s="93" customFormat="1" ht="16.5" customHeight="1">
      <c r="A64" s="94"/>
      <c r="G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48" s="93" customFormat="1" ht="16.5" customHeight="1">
      <c r="A65" s="94"/>
      <c r="G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48" s="93" customFormat="1" ht="14.25" customHeight="1">
      <c r="G66" s="18"/>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48" s="93" customFormat="1" ht="14.25" customHeight="1">
      <c r="G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48" s="93" customFormat="1" ht="14.25" customHeight="1">
      <c r="G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48" s="93" customFormat="1" ht="14.25" customHeight="1">
      <c r="G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48" s="93" customFormat="1" ht="14.25" customHeight="1">
      <c r="G70" s="18"/>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48" s="93" customFormat="1" ht="14.25" customHeight="1">
      <c r="G71" s="18"/>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48" s="93" customFormat="1" ht="14.25" customHeight="1">
      <c r="G72" s="18"/>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48" s="93" customFormat="1" ht="14.25" customHeight="1">
      <c r="G73" s="18"/>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48" s="93" customFormat="1" ht="14.25" customHeight="1">
      <c r="G74" s="18"/>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48" s="93" customFormat="1" ht="14.25" customHeight="1">
      <c r="G75" s="18"/>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48" s="93" customFormat="1" ht="14.25" customHeight="1">
      <c r="G76" s="18"/>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48" s="93" customFormat="1" ht="14.25" customHeight="1">
      <c r="G77" s="18"/>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48" s="93" customFormat="1" ht="14.25" customHeight="1">
      <c r="G78" s="18"/>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48" s="93" customFormat="1" ht="14.25" customHeight="1">
      <c r="G79" s="18"/>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48" s="93" customFormat="1" ht="14.25" customHeight="1">
      <c r="G80" s="18"/>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2:48" s="93" customFormat="1" ht="14.25" customHeight="1">
      <c r="G81" s="18"/>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2:48" s="93" customFormat="1" ht="14.25" customHeight="1">
      <c r="G82" s="18"/>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2:48" s="93" customFormat="1" ht="14.25" customHeight="1">
      <c r="G83" s="18"/>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2:48" s="93" customFormat="1" ht="14.25" customHeight="1">
      <c r="G84" s="18"/>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2:48" s="93" customFormat="1" ht="14.25" customHeight="1">
      <c r="G85" s="18"/>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2:48" s="93" customFormat="1" ht="14.25" customHeight="1">
      <c r="G86" s="18"/>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2:48" s="93" customFormat="1" ht="14.25" customHeight="1">
      <c r="G87" s="18"/>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2:48" s="93" customFormat="1" ht="14.25" customHeight="1">
      <c r="G88" s="18"/>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2:48" s="93" customFormat="1" ht="14.25" customHeight="1">
      <c r="G89" s="18"/>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2:48" s="93" customFormat="1" ht="14.25" customHeight="1">
      <c r="G90" s="18"/>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2:48" s="93" customFormat="1" ht="14.25" customHeight="1">
      <c r="G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4.2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4.2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4.2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4.2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s="93" customFormat="1" ht="14.2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4.2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pans="1:48" s="93" customFormat="1" ht="14.25" customHeight="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row>
    <row r="99" spans="1:48" s="93" customFormat="1" ht="14.25" customHeight="1">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spans="1:48" s="88" customFormat="1" ht="26.25" customHeight="1">
      <c r="A100" s="498" t="s">
        <v>139</v>
      </c>
      <c r="B100" s="498"/>
      <c r="C100" s="499"/>
      <c r="D100" s="87"/>
      <c r="E100" s="500" t="str">
        <f>HYPERLINK("#目录!A81","跳转回到目录页")</f>
        <v>跳转回到目录页</v>
      </c>
      <c r="F100" s="501"/>
    </row>
    <row r="101" spans="1:48" s="88" customFormat="1" ht="26.25" customHeight="1">
      <c r="A101" s="502" t="s">
        <v>1216</v>
      </c>
      <c r="B101" s="502"/>
      <c r="C101" s="503" t="s">
        <v>140</v>
      </c>
      <c r="D101" s="503"/>
      <c r="E101" s="503"/>
      <c r="F101" s="503"/>
      <c r="G101" s="503"/>
      <c r="H101" s="503"/>
      <c r="I101" s="503"/>
      <c r="J101" s="503"/>
      <c r="K101" s="503"/>
      <c r="L101" s="503"/>
      <c r="M101" s="503"/>
    </row>
    <row r="102" spans="1:48" s="88" customFormat="1" ht="16.5" customHeight="1">
      <c r="A102" s="496" t="s">
        <v>1217</v>
      </c>
      <c r="B102" s="496"/>
      <c r="C102" s="493" t="s">
        <v>2261</v>
      </c>
      <c r="D102" s="493"/>
      <c r="E102" s="493"/>
      <c r="F102" s="493"/>
      <c r="G102" s="493"/>
      <c r="H102" s="493"/>
      <c r="I102" s="493"/>
      <c r="J102" s="493"/>
      <c r="K102" s="493"/>
      <c r="L102" s="493"/>
      <c r="M102" s="493"/>
    </row>
    <row r="103" spans="1:48" s="88" customFormat="1" ht="16.5" customHeight="1">
      <c r="A103" s="496" t="s">
        <v>5786</v>
      </c>
      <c r="B103" s="496"/>
      <c r="C103" s="497" t="s">
        <v>5944</v>
      </c>
      <c r="D103" s="497"/>
      <c r="E103" s="497"/>
      <c r="F103" s="497"/>
      <c r="G103" s="497"/>
      <c r="H103" s="497"/>
      <c r="I103" s="497"/>
      <c r="J103" s="497"/>
      <c r="K103" s="497"/>
      <c r="L103" s="497"/>
      <c r="M103" s="497"/>
    </row>
    <row r="104" spans="1:48" s="88" customFormat="1" ht="16.5" customHeight="1">
      <c r="A104" s="496" t="s">
        <v>1220</v>
      </c>
      <c r="B104" s="496"/>
      <c r="C104" s="493" t="s">
        <v>2262</v>
      </c>
      <c r="D104" s="493"/>
      <c r="E104" s="493"/>
      <c r="F104" s="493"/>
      <c r="G104" s="493"/>
      <c r="H104" s="493"/>
      <c r="I104" s="493"/>
      <c r="J104" s="493"/>
      <c r="K104" s="493"/>
      <c r="L104" s="493"/>
      <c r="M104" s="493"/>
    </row>
    <row r="105" spans="1:48" s="88" customFormat="1" ht="16.5" customHeight="1">
      <c r="A105" s="496" t="s">
        <v>5785</v>
      </c>
      <c r="B105" s="496"/>
      <c r="C105" s="493" t="s">
        <v>2263</v>
      </c>
      <c r="D105" s="493"/>
      <c r="E105" s="493"/>
      <c r="F105" s="493"/>
      <c r="G105" s="493"/>
      <c r="H105" s="493"/>
      <c r="I105" s="493"/>
      <c r="J105" s="493"/>
      <c r="K105" s="493"/>
      <c r="L105" s="493"/>
      <c r="M105" s="493"/>
    </row>
    <row r="106" spans="1:48" s="88" customFormat="1" ht="16.5" customHeight="1">
      <c r="A106" s="89" t="s">
        <v>1223</v>
      </c>
      <c r="B106" s="92" t="s">
        <v>2200</v>
      </c>
      <c r="C106" s="493" t="s">
        <v>2250</v>
      </c>
      <c r="D106" s="493"/>
      <c r="E106" s="493"/>
      <c r="F106" s="493"/>
      <c r="G106" s="493"/>
      <c r="H106" s="493"/>
      <c r="I106" s="493"/>
      <c r="J106" s="493"/>
      <c r="K106" s="493"/>
      <c r="L106" s="493"/>
      <c r="M106" s="493"/>
    </row>
    <row r="107" spans="1:48" s="88" customFormat="1" ht="16.5" customHeight="1">
      <c r="A107" s="89"/>
      <c r="B107" s="92" t="s">
        <v>2264</v>
      </c>
      <c r="C107" s="493" t="s">
        <v>2252</v>
      </c>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c r="C109" s="493"/>
      <c r="D109" s="493"/>
      <c r="E109" s="493"/>
      <c r="F109" s="493"/>
      <c r="G109" s="493"/>
      <c r="H109" s="493"/>
      <c r="I109" s="493"/>
      <c r="J109" s="493"/>
      <c r="K109" s="493"/>
      <c r="L109" s="493"/>
      <c r="M109" s="493"/>
    </row>
    <row r="110" spans="1:48" ht="36.75" customHeight="1">
      <c r="A110" s="89" t="s">
        <v>1229</v>
      </c>
      <c r="B110" s="493" t="s">
        <v>2265</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10" s="93" customFormat="1" ht="16.5" customHeight="1">
      <c r="A113" s="94" t="s">
        <v>1232</v>
      </c>
      <c r="B113" s="93" t="s">
        <v>1773</v>
      </c>
    </row>
    <row r="114" spans="1:10" ht="16.5" customHeight="1"/>
    <row r="115" spans="1:10" ht="16.5" customHeight="1">
      <c r="B115" s="93"/>
      <c r="C115" s="93"/>
      <c r="D115" s="93" t="s">
        <v>1431</v>
      </c>
      <c r="E115" s="104" t="s">
        <v>1238</v>
      </c>
    </row>
    <row r="116" spans="1:10" ht="16.5" customHeight="1">
      <c r="B116" s="187">
        <v>86</v>
      </c>
      <c r="C116" s="188">
        <v>9</v>
      </c>
      <c r="D116" s="138">
        <f>MOD(B116,C116)</f>
        <v>5</v>
      </c>
      <c r="E116" s="108" t="s">
        <v>2266</v>
      </c>
      <c r="F116" s="93"/>
      <c r="H116" s="18"/>
    </row>
    <row r="117" spans="1:10" ht="16.5" customHeight="1">
      <c r="B117" s="99">
        <v>2</v>
      </c>
      <c r="C117" s="110">
        <v>3</v>
      </c>
      <c r="D117" s="101">
        <f>MOD(B117,C117)</f>
        <v>2</v>
      </c>
      <c r="E117" s="108" t="s">
        <v>2267</v>
      </c>
      <c r="F117" s="93"/>
    </row>
    <row r="118" spans="1:10" ht="16.5" customHeight="1">
      <c r="B118" s="99">
        <v>-15</v>
      </c>
      <c r="C118" s="110">
        <v>6</v>
      </c>
      <c r="D118" s="101">
        <f>MOD(B118,C118)</f>
        <v>3</v>
      </c>
      <c r="E118" s="108" t="s">
        <v>2268</v>
      </c>
      <c r="F118" s="93"/>
      <c r="H118" s="18"/>
    </row>
    <row r="119" spans="1:10" ht="16.5" customHeight="1">
      <c r="B119" s="99">
        <v>24.8</v>
      </c>
      <c r="C119" s="110">
        <v>3</v>
      </c>
      <c r="D119" s="101">
        <f>MOD(B119,C119)</f>
        <v>0.80000000000000071</v>
      </c>
      <c r="E119" s="108" t="s">
        <v>2269</v>
      </c>
      <c r="F119" s="93"/>
    </row>
    <row r="120" spans="1:10" ht="16.5" customHeight="1">
      <c r="B120" s="105">
        <v>35</v>
      </c>
      <c r="C120" s="113">
        <v>0.4</v>
      </c>
      <c r="D120" s="107">
        <f>MOD(B120,C120)</f>
        <v>0.19999999999999807</v>
      </c>
      <c r="E120" s="108" t="s">
        <v>2270</v>
      </c>
      <c r="F120" s="93"/>
    </row>
    <row r="121" spans="1:10" ht="16.5" customHeight="1">
      <c r="B121" s="93"/>
      <c r="C121" s="93"/>
      <c r="D121" s="93"/>
      <c r="E121" s="93"/>
      <c r="F121" s="93"/>
    </row>
    <row r="122" spans="1:10" ht="16.5" customHeight="1">
      <c r="B122" s="93"/>
      <c r="C122" s="93"/>
      <c r="D122" s="93"/>
      <c r="E122" s="93"/>
      <c r="F122" s="93"/>
    </row>
    <row r="123" spans="1:10" ht="16.5" customHeight="1">
      <c r="B123" s="93"/>
      <c r="C123" s="93"/>
      <c r="D123" s="93"/>
      <c r="E123" s="93"/>
      <c r="F123" s="93"/>
    </row>
    <row r="124" spans="1:10" s="93" customFormat="1" ht="16.5" customHeight="1">
      <c r="A124" s="94" t="s">
        <v>1244</v>
      </c>
      <c r="B124" s="93" t="s">
        <v>2271</v>
      </c>
      <c r="H124" s="170"/>
    </row>
    <row r="125" spans="1:10" s="93" customFormat="1" ht="16.5" customHeight="1"/>
    <row r="126" spans="1:10" s="93" customFormat="1" ht="16.5" customHeight="1">
      <c r="B126" s="95" t="s">
        <v>1371</v>
      </c>
      <c r="C126" s="96" t="s">
        <v>2272</v>
      </c>
      <c r="D126" s="97" t="s">
        <v>1246</v>
      </c>
      <c r="E126" s="158" t="s">
        <v>2273</v>
      </c>
      <c r="H126" s="93" t="s">
        <v>2274</v>
      </c>
      <c r="J126" s="161"/>
    </row>
    <row r="127" spans="1:10" s="93" customFormat="1" ht="16.5" customHeight="1">
      <c r="B127" s="111">
        <v>1</v>
      </c>
      <c r="C127" s="100">
        <f>MOD(B127,4)</f>
        <v>1</v>
      </c>
      <c r="D127" s="112" t="str">
        <f>VLOOKUP(C127,IF({1,0},$I$128:$I$131,$H$128:$H$131),2,0)</f>
        <v>袁丽琴</v>
      </c>
      <c r="E127" s="108" t="s">
        <v>2275</v>
      </c>
      <c r="H127" s="95" t="s">
        <v>1246</v>
      </c>
      <c r="I127" s="138" t="s">
        <v>2276</v>
      </c>
    </row>
    <row r="128" spans="1:10" s="93" customFormat="1" ht="16.5" customHeight="1">
      <c r="B128" s="111">
        <v>2</v>
      </c>
      <c r="C128" s="100">
        <f t="shared" ref="C128:C157" si="1">MOD(B128,4)</f>
        <v>2</v>
      </c>
      <c r="D128" s="112" t="str">
        <f>VLOOKUP(C128,IF({1,0},$I$128:$I$131,$H$128:$H$131),2,0)</f>
        <v>张桂兰</v>
      </c>
      <c r="H128" s="111" t="s">
        <v>1843</v>
      </c>
      <c r="I128" s="101">
        <v>1</v>
      </c>
    </row>
    <row r="129" spans="2:9" s="93" customFormat="1" ht="16.5" customHeight="1">
      <c r="B129" s="111">
        <v>3</v>
      </c>
      <c r="C129" s="100">
        <f t="shared" si="1"/>
        <v>3</v>
      </c>
      <c r="D129" s="112" t="str">
        <f>VLOOKUP(C129,IF({1,0},$I$128:$I$131,$H$128:$H$131),2,0)</f>
        <v>要淑君</v>
      </c>
      <c r="H129" s="111" t="s">
        <v>1845</v>
      </c>
      <c r="I129" s="101">
        <v>2</v>
      </c>
    </row>
    <row r="130" spans="2:9" s="93" customFormat="1" ht="16.5" customHeight="1">
      <c r="B130" s="111">
        <v>4</v>
      </c>
      <c r="C130" s="100">
        <f t="shared" si="1"/>
        <v>0</v>
      </c>
      <c r="D130" s="112" t="str">
        <f>VLOOKUP(C130,IF({1,0},$I$128:$I$131,$H$128:$H$131),2,0)</f>
        <v>肖慧琴</v>
      </c>
      <c r="H130" s="111" t="s">
        <v>1847</v>
      </c>
      <c r="I130" s="101">
        <v>3</v>
      </c>
    </row>
    <row r="131" spans="2:9" s="93" customFormat="1" ht="16.5" customHeight="1">
      <c r="B131" s="111">
        <v>5</v>
      </c>
      <c r="C131" s="100">
        <f t="shared" si="1"/>
        <v>1</v>
      </c>
      <c r="D131" s="112" t="str">
        <f>VLOOKUP(C131,IF({1,0},$I$128:$I$131,$H$128:$H$131),2,0)</f>
        <v>袁丽琴</v>
      </c>
      <c r="H131" s="151" t="s">
        <v>1848</v>
      </c>
      <c r="I131" s="107">
        <v>0</v>
      </c>
    </row>
    <row r="132" spans="2:9" s="93" customFormat="1" ht="16.5" customHeight="1">
      <c r="B132" s="111">
        <v>6</v>
      </c>
      <c r="C132" s="100">
        <f t="shared" si="1"/>
        <v>2</v>
      </c>
      <c r="D132" s="112" t="str">
        <f>VLOOKUP(C132,IF({1,0},$I$128:$I$131,$H$128:$H$131),2,0)</f>
        <v>张桂兰</v>
      </c>
    </row>
    <row r="133" spans="2:9" s="93" customFormat="1" ht="16.5" customHeight="1">
      <c r="B133" s="111">
        <v>7</v>
      </c>
      <c r="C133" s="100">
        <f t="shared" si="1"/>
        <v>3</v>
      </c>
      <c r="D133" s="112" t="str">
        <f>VLOOKUP(C133,IF({1,0},$I$128:$I$131,$H$128:$H$131),2,0)</f>
        <v>要淑君</v>
      </c>
      <c r="H133" s="93" t="s">
        <v>2277</v>
      </c>
    </row>
    <row r="134" spans="2:9" s="93" customFormat="1" ht="16.5" customHeight="1">
      <c r="B134" s="111">
        <v>8</v>
      </c>
      <c r="C134" s="100">
        <f t="shared" si="1"/>
        <v>0</v>
      </c>
      <c r="D134" s="112" t="str">
        <f>VLOOKUP(C134,IF({1,0},$I$128:$I$131,$H$128:$H$131),2,0)</f>
        <v>肖慧琴</v>
      </c>
    </row>
    <row r="135" spans="2:9" s="93" customFormat="1" ht="16.5" customHeight="1">
      <c r="B135" s="111">
        <v>9</v>
      </c>
      <c r="C135" s="100">
        <f t="shared" si="1"/>
        <v>1</v>
      </c>
      <c r="D135" s="112" t="str">
        <f>VLOOKUP(C135,IF({1,0},$I$128:$I$131,$H$128:$H$131),2,0)</f>
        <v>袁丽琴</v>
      </c>
    </row>
    <row r="136" spans="2:9" s="93" customFormat="1" ht="16.5" customHeight="1">
      <c r="B136" s="111">
        <v>10</v>
      </c>
      <c r="C136" s="100">
        <f t="shared" si="1"/>
        <v>2</v>
      </c>
      <c r="D136" s="112" t="str">
        <f>VLOOKUP(C136,IF({1,0},$I$128:$I$131,$H$128:$H$131),2,0)</f>
        <v>张桂兰</v>
      </c>
    </row>
    <row r="137" spans="2:9" s="93" customFormat="1" ht="16.5" customHeight="1">
      <c r="B137" s="111">
        <v>11</v>
      </c>
      <c r="C137" s="100">
        <f t="shared" si="1"/>
        <v>3</v>
      </c>
      <c r="D137" s="112" t="str">
        <f>VLOOKUP(C137,IF({1,0},$I$128:$I$131,$H$128:$H$131),2,0)</f>
        <v>要淑君</v>
      </c>
    </row>
    <row r="138" spans="2:9" s="93" customFormat="1" ht="16.5" customHeight="1">
      <c r="B138" s="111">
        <v>12</v>
      </c>
      <c r="C138" s="100">
        <f t="shared" si="1"/>
        <v>0</v>
      </c>
      <c r="D138" s="112" t="str">
        <f>VLOOKUP(C138,IF({1,0},$I$128:$I$131,$H$128:$H$131),2,0)</f>
        <v>肖慧琴</v>
      </c>
      <c r="E138" s="158" t="s">
        <v>2278</v>
      </c>
    </row>
    <row r="139" spans="2:9" s="93" customFormat="1" ht="16.5" customHeight="1">
      <c r="B139" s="111">
        <v>13</v>
      </c>
      <c r="C139" s="100">
        <f t="shared" si="1"/>
        <v>1</v>
      </c>
      <c r="D139" s="112" t="str">
        <f>VLOOKUP(C139,IF({1,0},$I$128:$I$131,$H$128:$H$131),2,0)</f>
        <v>袁丽琴</v>
      </c>
      <c r="E139" s="108" t="s">
        <v>2279</v>
      </c>
    </row>
    <row r="140" spans="2:9" s="93" customFormat="1" ht="16.5" customHeight="1">
      <c r="B140" s="111">
        <v>14</v>
      </c>
      <c r="C140" s="100">
        <f t="shared" si="1"/>
        <v>2</v>
      </c>
      <c r="D140" s="112" t="str">
        <f>VLOOKUP(C140,IF({1,0},$I$128:$I$131,$H$128:$H$131),2,0)</f>
        <v>张桂兰</v>
      </c>
      <c r="F140" s="158"/>
    </row>
    <row r="141" spans="2:9" s="93" customFormat="1" ht="16.5" customHeight="1">
      <c r="B141" s="111">
        <v>15</v>
      </c>
      <c r="C141" s="100">
        <f t="shared" si="1"/>
        <v>3</v>
      </c>
      <c r="D141" s="112" t="str">
        <f>VLOOKUP(C141,IF({1,0},$I$128:$I$131,$H$128:$H$131),2,0)</f>
        <v>要淑君</v>
      </c>
      <c r="E141" s="93" t="s">
        <v>1261</v>
      </c>
    </row>
    <row r="142" spans="2:9" s="93" customFormat="1" ht="16.5" customHeight="1">
      <c r="B142" s="111">
        <v>16</v>
      </c>
      <c r="C142" s="100">
        <f t="shared" si="1"/>
        <v>0</v>
      </c>
      <c r="D142" s="112" t="str">
        <f>VLOOKUP(C142,IF({1,0},$I$128:$I$131,$H$128:$H$131),2,0)</f>
        <v>肖慧琴</v>
      </c>
      <c r="E142" s="94" t="s">
        <v>260</v>
      </c>
      <c r="F142" s="93" t="s">
        <v>2280</v>
      </c>
    </row>
    <row r="143" spans="2:9" s="93" customFormat="1" ht="16.5" customHeight="1">
      <c r="B143" s="111">
        <v>17</v>
      </c>
      <c r="C143" s="100">
        <f t="shared" si="1"/>
        <v>1</v>
      </c>
      <c r="D143" s="112" t="str">
        <f>VLOOKUP(C143,IF({1,0},$I$128:$I$131,$H$128:$H$131),2,0)</f>
        <v>袁丽琴</v>
      </c>
    </row>
    <row r="144" spans="2:9" s="93" customFormat="1" ht="16.5" customHeight="1">
      <c r="B144" s="111">
        <v>18</v>
      </c>
      <c r="C144" s="100">
        <f t="shared" si="1"/>
        <v>2</v>
      </c>
      <c r="D144" s="112" t="str">
        <f>VLOOKUP(C144,IF({1,0},$I$128:$I$131,$H$128:$H$131),2,0)</f>
        <v>张桂兰</v>
      </c>
    </row>
    <row r="145" spans="2:7" s="93" customFormat="1" ht="16.5" customHeight="1">
      <c r="B145" s="111">
        <v>19</v>
      </c>
      <c r="C145" s="100">
        <f t="shared" si="1"/>
        <v>3</v>
      </c>
      <c r="D145" s="112" t="str">
        <f>VLOOKUP(C145,IF({1,0},$I$128:$I$131,$H$128:$H$131),2,0)</f>
        <v>要淑君</v>
      </c>
    </row>
    <row r="146" spans="2:7" s="93" customFormat="1" ht="16.5" customHeight="1">
      <c r="B146" s="111">
        <v>20</v>
      </c>
      <c r="C146" s="100">
        <f t="shared" si="1"/>
        <v>0</v>
      </c>
      <c r="D146" s="112" t="str">
        <f>VLOOKUP(C146,IF({1,0},$I$128:$I$131,$H$128:$H$131),2,0)</f>
        <v>肖慧琴</v>
      </c>
    </row>
    <row r="147" spans="2:7" s="93" customFormat="1" ht="16.5" customHeight="1">
      <c r="B147" s="111">
        <v>21</v>
      </c>
      <c r="C147" s="100">
        <f t="shared" si="1"/>
        <v>1</v>
      </c>
      <c r="D147" s="112" t="str">
        <f>VLOOKUP(C147,IF({1,0},$I$128:$I$131,$H$128:$H$131),2,0)</f>
        <v>袁丽琴</v>
      </c>
    </row>
    <row r="148" spans="2:7" s="93" customFormat="1" ht="16.5" customHeight="1">
      <c r="B148" s="111">
        <v>22</v>
      </c>
      <c r="C148" s="100">
        <f t="shared" si="1"/>
        <v>2</v>
      </c>
      <c r="D148" s="112" t="str">
        <f>VLOOKUP(C148,IF({1,0},$I$128:$I$131,$H$128:$H$131),2,0)</f>
        <v>张桂兰</v>
      </c>
    </row>
    <row r="149" spans="2:7" s="93" customFormat="1" ht="16.5" customHeight="1">
      <c r="B149" s="111">
        <v>23</v>
      </c>
      <c r="C149" s="100">
        <f t="shared" si="1"/>
        <v>3</v>
      </c>
      <c r="D149" s="112" t="str">
        <f>VLOOKUP(C149,IF({1,0},$I$128:$I$131,$H$128:$H$131),2,0)</f>
        <v>要淑君</v>
      </c>
    </row>
    <row r="150" spans="2:7" s="93" customFormat="1" ht="16.5" customHeight="1">
      <c r="B150" s="111">
        <v>24</v>
      </c>
      <c r="C150" s="100">
        <f t="shared" si="1"/>
        <v>0</v>
      </c>
      <c r="D150" s="112" t="str">
        <f>VLOOKUP(C150,IF({1,0},$I$128:$I$131,$H$128:$H$131),2,0)</f>
        <v>肖慧琴</v>
      </c>
    </row>
    <row r="151" spans="2:7" s="93" customFormat="1" ht="16.5" customHeight="1">
      <c r="B151" s="111">
        <v>25</v>
      </c>
      <c r="C151" s="100">
        <f t="shared" si="1"/>
        <v>1</v>
      </c>
      <c r="D151" s="112" t="str">
        <f>VLOOKUP(C151,IF({1,0},$I$128:$I$131,$H$128:$H$131),2,0)</f>
        <v>袁丽琴</v>
      </c>
    </row>
    <row r="152" spans="2:7" s="93" customFormat="1" ht="16.5" customHeight="1">
      <c r="B152" s="111">
        <v>26</v>
      </c>
      <c r="C152" s="100">
        <f t="shared" si="1"/>
        <v>2</v>
      </c>
      <c r="D152" s="112" t="str">
        <f>VLOOKUP(C152,IF({1,0},$I$128:$I$131,$H$128:$H$131),2,0)</f>
        <v>张桂兰</v>
      </c>
    </row>
    <row r="153" spans="2:7" s="93" customFormat="1" ht="16.5" customHeight="1">
      <c r="B153" s="111">
        <v>27</v>
      </c>
      <c r="C153" s="100">
        <f t="shared" si="1"/>
        <v>3</v>
      </c>
      <c r="D153" s="112" t="str">
        <f>VLOOKUP(C153,IF({1,0},$I$128:$I$131,$H$128:$H$131),2,0)</f>
        <v>要淑君</v>
      </c>
    </row>
    <row r="154" spans="2:7" s="93" customFormat="1" ht="16.5" customHeight="1">
      <c r="B154" s="111">
        <v>28</v>
      </c>
      <c r="C154" s="100">
        <f t="shared" si="1"/>
        <v>0</v>
      </c>
      <c r="D154" s="112" t="str">
        <f>VLOOKUP(C154,IF({1,0},$I$128:$I$131,$H$128:$H$131),2,0)</f>
        <v>肖慧琴</v>
      </c>
    </row>
    <row r="155" spans="2:7" s="93" customFormat="1" ht="16.5" customHeight="1">
      <c r="B155" s="111">
        <v>29</v>
      </c>
      <c r="C155" s="100">
        <f t="shared" si="1"/>
        <v>1</v>
      </c>
      <c r="D155" s="112" t="str">
        <f>VLOOKUP(C155,IF({1,0},$I$128:$I$131,$H$128:$H$131),2,0)</f>
        <v>袁丽琴</v>
      </c>
    </row>
    <row r="156" spans="2:7" s="93" customFormat="1" ht="16.5" customHeight="1">
      <c r="B156" s="111">
        <v>30</v>
      </c>
      <c r="C156" s="100">
        <f t="shared" si="1"/>
        <v>2</v>
      </c>
      <c r="D156" s="112" t="str">
        <f>VLOOKUP(C156,IF({1,0},$I$128:$I$131,$H$128:$H$131),2,0)</f>
        <v>张桂兰</v>
      </c>
      <c r="G156" s="4"/>
    </row>
    <row r="157" spans="2:7" s="93" customFormat="1" ht="16.5" customHeight="1">
      <c r="B157" s="151">
        <v>31</v>
      </c>
      <c r="C157" s="106">
        <f t="shared" si="1"/>
        <v>3</v>
      </c>
      <c r="D157" s="150" t="str">
        <f>VLOOKUP(C157,IF({1,0},$I$128:$I$131,$H$128:$H$131),2,0)</f>
        <v>要淑君</v>
      </c>
    </row>
    <row r="158" spans="2:7" s="93" customFormat="1" ht="16.5" customHeight="1"/>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V122"/>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142</v>
      </c>
      <c r="B1" s="498"/>
      <c r="C1" s="499"/>
      <c r="D1" s="87"/>
      <c r="E1" s="500" t="str">
        <f>HYPERLINK("#目录!A83","跳转回到目录页")</f>
        <v>跳转回到目录页</v>
      </c>
      <c r="F1" s="501"/>
    </row>
    <row r="2" spans="1:13" s="88" customFormat="1" ht="26.25" customHeight="1">
      <c r="A2" s="502" t="s">
        <v>1216</v>
      </c>
      <c r="B2" s="502"/>
      <c r="C2" s="503" t="s">
        <v>143</v>
      </c>
      <c r="D2" s="503"/>
      <c r="E2" s="503"/>
      <c r="F2" s="503"/>
      <c r="G2" s="503"/>
      <c r="H2" s="503"/>
      <c r="I2" s="503"/>
      <c r="J2" s="503"/>
      <c r="K2" s="503"/>
      <c r="L2" s="503"/>
      <c r="M2" s="503"/>
    </row>
    <row r="3" spans="1:13" s="88" customFormat="1" ht="16.5" customHeight="1">
      <c r="A3" s="496" t="s">
        <v>1217</v>
      </c>
      <c r="B3" s="496"/>
      <c r="C3" s="493" t="s">
        <v>2281</v>
      </c>
      <c r="D3" s="493"/>
      <c r="E3" s="493"/>
      <c r="F3" s="493"/>
      <c r="G3" s="493"/>
      <c r="H3" s="493"/>
      <c r="I3" s="493"/>
      <c r="J3" s="493"/>
      <c r="K3" s="493"/>
      <c r="L3" s="493"/>
      <c r="M3" s="493"/>
    </row>
    <row r="4" spans="1:13" s="88" customFormat="1" ht="16.5" customHeight="1">
      <c r="A4" s="496" t="s">
        <v>5786</v>
      </c>
      <c r="B4" s="496"/>
      <c r="C4" s="497" t="s">
        <v>143</v>
      </c>
      <c r="D4" s="497"/>
      <c r="E4" s="497"/>
      <c r="F4" s="497"/>
      <c r="G4" s="497"/>
      <c r="H4" s="497"/>
      <c r="I4" s="497"/>
      <c r="J4" s="497"/>
      <c r="K4" s="497"/>
      <c r="L4" s="497"/>
      <c r="M4" s="497"/>
    </row>
    <row r="5" spans="1:13" s="88" customFormat="1" ht="16.5" customHeight="1">
      <c r="A5" s="496" t="s">
        <v>1220</v>
      </c>
      <c r="B5" s="496"/>
      <c r="C5" s="493" t="s">
        <v>2282</v>
      </c>
      <c r="D5" s="493"/>
      <c r="E5" s="493"/>
      <c r="F5" s="493"/>
      <c r="G5" s="493"/>
      <c r="H5" s="493"/>
      <c r="I5" s="493"/>
      <c r="J5" s="493"/>
      <c r="K5" s="493"/>
      <c r="L5" s="493"/>
      <c r="M5" s="493"/>
    </row>
    <row r="6" spans="1:13" s="88" customFormat="1" ht="16.5" customHeight="1">
      <c r="A6" s="496" t="s">
        <v>5785</v>
      </c>
      <c r="B6" s="496"/>
      <c r="C6" s="493" t="s">
        <v>2283</v>
      </c>
      <c r="D6" s="493"/>
      <c r="E6" s="493"/>
      <c r="F6" s="493"/>
      <c r="G6" s="493"/>
      <c r="H6" s="493"/>
      <c r="I6" s="493"/>
      <c r="J6" s="493"/>
      <c r="K6" s="493"/>
      <c r="L6" s="493"/>
      <c r="M6" s="493"/>
    </row>
    <row r="7" spans="1:13" s="88" customFormat="1" ht="16.5" customHeight="1">
      <c r="A7" s="89" t="s">
        <v>1223</v>
      </c>
      <c r="B7" s="92" t="s">
        <v>1576</v>
      </c>
      <c r="C7" s="493" t="s">
        <v>2284</v>
      </c>
      <c r="D7" s="493"/>
      <c r="E7" s="493"/>
      <c r="F7" s="493"/>
      <c r="G7" s="493"/>
      <c r="H7" s="493"/>
      <c r="I7" s="493"/>
      <c r="J7" s="493"/>
      <c r="K7" s="493"/>
      <c r="L7" s="493"/>
      <c r="M7" s="493"/>
    </row>
    <row r="8" spans="1:13" s="88" customFormat="1" ht="16.5" customHeight="1">
      <c r="A8" s="89"/>
      <c r="B8" s="92"/>
      <c r="C8" s="493"/>
      <c r="D8" s="493"/>
      <c r="E8" s="493"/>
      <c r="F8" s="493"/>
      <c r="G8" s="493"/>
      <c r="H8" s="493"/>
      <c r="I8" s="493"/>
      <c r="J8" s="493"/>
      <c r="K8" s="493"/>
      <c r="L8" s="493"/>
      <c r="M8" s="493"/>
    </row>
    <row r="9" spans="1:13" s="88" customFormat="1" ht="16.5" customHeight="1">
      <c r="A9" s="89"/>
      <c r="B9" s="90"/>
      <c r="C9" s="493"/>
      <c r="D9" s="493"/>
      <c r="E9" s="493"/>
      <c r="F9" s="493"/>
      <c r="G9" s="493"/>
      <c r="H9" s="493"/>
      <c r="I9" s="493"/>
      <c r="J9" s="493"/>
      <c r="K9" s="493"/>
      <c r="L9" s="493"/>
      <c r="M9" s="493"/>
    </row>
    <row r="10" spans="1:13" s="88" customFormat="1" ht="47.25" customHeight="1">
      <c r="A10" s="89" t="s">
        <v>1228</v>
      </c>
      <c r="B10" s="493" t="s">
        <v>2285</v>
      </c>
      <c r="C10" s="493"/>
      <c r="D10" s="493"/>
      <c r="E10" s="493"/>
      <c r="F10" s="493"/>
      <c r="G10" s="493"/>
      <c r="H10" s="493"/>
      <c r="I10" s="493"/>
      <c r="J10" s="493"/>
      <c r="K10" s="493"/>
      <c r="L10" s="493"/>
      <c r="M10" s="493"/>
    </row>
    <row r="11" spans="1:13" ht="24.75" customHeight="1">
      <c r="A11" s="89" t="s">
        <v>1229</v>
      </c>
      <c r="B11" s="493" t="s">
        <v>2286</v>
      </c>
      <c r="C11" s="493"/>
      <c r="D11" s="493"/>
      <c r="E11" s="493"/>
      <c r="F11" s="493"/>
      <c r="G11" s="493"/>
      <c r="H11" s="493"/>
      <c r="I11" s="493"/>
      <c r="J11" s="493"/>
      <c r="K11" s="493"/>
      <c r="L11" s="493"/>
      <c r="M11" s="493"/>
    </row>
    <row r="12" spans="1:13" ht="21" customHeight="1">
      <c r="B12" s="494" t="s">
        <v>1231</v>
      </c>
      <c r="C12" s="494"/>
      <c r="D12" s="494"/>
      <c r="E12" s="494"/>
      <c r="F12" s="494"/>
      <c r="G12" s="494"/>
      <c r="H12" s="494"/>
      <c r="I12" s="494"/>
      <c r="J12" s="494"/>
      <c r="K12" s="494"/>
      <c r="L12" s="495"/>
    </row>
    <row r="13" spans="1:13" s="93" customFormat="1" ht="16.5" customHeight="1"/>
    <row r="14" spans="1:13" s="93" customFormat="1" ht="16.5" customHeight="1">
      <c r="A14" s="94" t="s">
        <v>1232</v>
      </c>
      <c r="B14" s="93" t="s">
        <v>1773</v>
      </c>
    </row>
    <row r="15" spans="1:13" s="93" customFormat="1" ht="16.5" customHeight="1">
      <c r="B15" s="93" t="s">
        <v>2287</v>
      </c>
    </row>
    <row r="16" spans="1:13" s="93" customFormat="1" ht="16.5" customHeight="1">
      <c r="B16" s="482" t="s">
        <v>2288</v>
      </c>
      <c r="C16" s="504"/>
      <c r="D16" s="97" t="s">
        <v>1431</v>
      </c>
      <c r="E16" s="104" t="s">
        <v>1238</v>
      </c>
      <c r="G16" s="93" t="s">
        <v>2289</v>
      </c>
    </row>
    <row r="17" spans="1:13" s="93" customFormat="1" ht="16.5" customHeight="1">
      <c r="B17" s="99">
        <v>6</v>
      </c>
      <c r="C17" s="110">
        <v>3</v>
      </c>
      <c r="D17" s="101">
        <f>GCD(B17,C17)</f>
        <v>3</v>
      </c>
      <c r="E17" s="108" t="s">
        <v>2290</v>
      </c>
      <c r="G17" s="93" t="s">
        <v>2291</v>
      </c>
    </row>
    <row r="18" spans="1:13" s="93" customFormat="1" ht="16.5" customHeight="1">
      <c r="B18" s="99">
        <v>34</v>
      </c>
      <c r="C18" s="110">
        <v>48</v>
      </c>
      <c r="D18" s="101">
        <f>GCD(B18,C18)</f>
        <v>2</v>
      </c>
      <c r="E18" s="108" t="s">
        <v>2292</v>
      </c>
      <c r="G18" s="93" t="s">
        <v>2293</v>
      </c>
    </row>
    <row r="19" spans="1:13" s="93" customFormat="1" ht="16.5" customHeight="1">
      <c r="B19" s="99">
        <v>9</v>
      </c>
      <c r="C19" s="110">
        <v>1</v>
      </c>
      <c r="D19" s="101">
        <f>GCD(B19,C19)</f>
        <v>1</v>
      </c>
      <c r="E19" s="108" t="s">
        <v>2294</v>
      </c>
      <c r="G19" s="93" t="s">
        <v>2295</v>
      </c>
    </row>
    <row r="20" spans="1:13" s="93" customFormat="1" ht="16.5" customHeight="1">
      <c r="B20" s="99">
        <v>6</v>
      </c>
      <c r="C20" s="110">
        <v>0</v>
      </c>
      <c r="D20" s="101">
        <f>GCD(B20,C20)</f>
        <v>6</v>
      </c>
      <c r="E20" s="108" t="s">
        <v>2296</v>
      </c>
      <c r="G20" s="93" t="s">
        <v>2297</v>
      </c>
    </row>
    <row r="21" spans="1:13" s="93" customFormat="1" ht="16.5" customHeight="1">
      <c r="B21" s="105">
        <v>18</v>
      </c>
      <c r="C21" s="113">
        <v>-21</v>
      </c>
      <c r="D21" s="107" t="e">
        <f>GCD(B21,C21)</f>
        <v>#NUM!</v>
      </c>
      <c r="E21" s="108" t="s">
        <v>2298</v>
      </c>
      <c r="G21" s="93" t="s">
        <v>2299</v>
      </c>
      <c r="H21" s="161"/>
    </row>
    <row r="22" spans="1:13" s="93" customFormat="1" ht="16.5" customHeight="1">
      <c r="H22" s="161"/>
    </row>
    <row r="23" spans="1:13" s="93" customFormat="1" ht="16.5" customHeight="1">
      <c r="A23" s="94"/>
      <c r="B23" s="93" t="s">
        <v>2300</v>
      </c>
    </row>
    <row r="24" spans="1:13" s="93" customFormat="1" ht="16.5" customHeight="1">
      <c r="B24" s="482" t="s">
        <v>2288</v>
      </c>
      <c r="C24" s="504"/>
      <c r="D24" s="504"/>
      <c r="E24" s="504"/>
      <c r="F24" s="504"/>
      <c r="G24" s="97" t="s">
        <v>1431</v>
      </c>
      <c r="H24" s="104" t="s">
        <v>1238</v>
      </c>
    </row>
    <row r="25" spans="1:13" s="93" customFormat="1" ht="16.5" customHeight="1">
      <c r="B25" s="99">
        <v>24</v>
      </c>
      <c r="C25" s="110">
        <v>8</v>
      </c>
      <c r="D25" s="110">
        <v>72</v>
      </c>
      <c r="E25" s="110">
        <v>32</v>
      </c>
      <c r="F25" s="110">
        <v>124</v>
      </c>
      <c r="G25" s="101">
        <f>GCD(B25:F25)</f>
        <v>4</v>
      </c>
      <c r="H25" s="108" t="s">
        <v>2301</v>
      </c>
    </row>
    <row r="26" spans="1:13" s="93" customFormat="1" ht="16.5" customHeight="1">
      <c r="B26" s="99">
        <v>54</v>
      </c>
      <c r="C26" s="110">
        <v>81.8</v>
      </c>
      <c r="D26" s="110">
        <v>117</v>
      </c>
      <c r="E26" s="110">
        <v>252.4</v>
      </c>
      <c r="F26" s="110">
        <v>459</v>
      </c>
      <c r="G26" s="101">
        <f>GCD(B26:F26)</f>
        <v>9</v>
      </c>
      <c r="H26" s="108" t="s">
        <v>2302</v>
      </c>
    </row>
    <row r="27" spans="1:13" s="93" customFormat="1" ht="16.5" customHeight="1">
      <c r="B27" s="99">
        <v>-21</v>
      </c>
      <c r="C27" s="110">
        <v>-105</v>
      </c>
      <c r="D27" s="110">
        <v>-3</v>
      </c>
      <c r="E27" s="110">
        <v>-16</v>
      </c>
      <c r="F27" s="110">
        <v>-252.4</v>
      </c>
      <c r="G27" s="101" t="e">
        <f>GCD(B27:F27)</f>
        <v>#NUM!</v>
      </c>
      <c r="H27" s="108" t="s">
        <v>2303</v>
      </c>
      <c r="J27" s="549" t="s">
        <v>2304</v>
      </c>
      <c r="K27" s="549"/>
      <c r="L27" s="549"/>
      <c r="M27" s="549"/>
    </row>
    <row r="28" spans="1:13" s="93" customFormat="1" ht="16.5" customHeight="1">
      <c r="B28" s="99">
        <v>18</v>
      </c>
      <c r="C28" s="110">
        <v>60</v>
      </c>
      <c r="D28" s="110">
        <v>-27</v>
      </c>
      <c r="E28" s="110">
        <v>45</v>
      </c>
      <c r="F28" s="110">
        <v>9</v>
      </c>
      <c r="G28" s="101" t="e">
        <f>GCD(B28:F28)</f>
        <v>#NUM!</v>
      </c>
      <c r="H28" s="108" t="s">
        <v>2305</v>
      </c>
      <c r="J28" s="549"/>
      <c r="K28" s="549"/>
      <c r="L28" s="549"/>
      <c r="M28" s="549"/>
    </row>
    <row r="29" spans="1:13" s="93" customFormat="1" ht="16.5" customHeight="1">
      <c r="B29" s="105">
        <v>54</v>
      </c>
      <c r="C29" s="113">
        <v>81.8</v>
      </c>
      <c r="D29" s="113">
        <v>117</v>
      </c>
      <c r="E29" s="113">
        <v>252.4</v>
      </c>
      <c r="F29" s="241" t="s">
        <v>1904</v>
      </c>
      <c r="G29" s="107" t="e">
        <f>GCD(B29:F29)</f>
        <v>#VALUE!</v>
      </c>
      <c r="H29" s="108" t="s">
        <v>2306</v>
      </c>
      <c r="J29" s="509" t="s">
        <v>2307</v>
      </c>
      <c r="K29" s="509"/>
      <c r="L29" s="509"/>
      <c r="M29" s="509"/>
    </row>
    <row r="30" spans="1:13" s="93" customFormat="1" ht="16.5" customHeight="1">
      <c r="H30" s="170"/>
      <c r="J30" s="509"/>
      <c r="K30" s="509"/>
      <c r="L30" s="509"/>
      <c r="M30" s="509"/>
    </row>
    <row r="31" spans="1:13" s="93" customFormat="1" ht="16.5" customHeight="1">
      <c r="H31" s="170"/>
      <c r="J31" s="92"/>
      <c r="K31" s="92"/>
      <c r="L31" s="92"/>
      <c r="M31" s="92"/>
    </row>
    <row r="32" spans="1:13" s="93" customFormat="1" ht="16.5" customHeight="1">
      <c r="H32" s="170"/>
      <c r="J32" s="92"/>
      <c r="K32" s="92"/>
      <c r="L32" s="92"/>
      <c r="M32" s="92"/>
    </row>
    <row r="33" spans="8:13" s="93" customFormat="1" ht="16.5" customHeight="1">
      <c r="H33" s="170"/>
      <c r="J33" s="92"/>
      <c r="K33" s="92"/>
      <c r="L33" s="92"/>
      <c r="M33" s="92"/>
    </row>
    <row r="34" spans="8:13" s="93" customFormat="1" ht="16.5" customHeight="1">
      <c r="H34" s="170"/>
      <c r="J34" s="92"/>
      <c r="K34" s="92"/>
      <c r="L34" s="92"/>
      <c r="M34" s="92"/>
    </row>
    <row r="35" spans="8:13" s="93" customFormat="1" ht="16.5" customHeight="1">
      <c r="H35" s="170"/>
      <c r="J35" s="92"/>
      <c r="K35" s="92"/>
      <c r="L35" s="92"/>
      <c r="M35" s="92"/>
    </row>
    <row r="36" spans="8:13" s="93" customFormat="1" ht="16.5" customHeight="1">
      <c r="H36" s="170"/>
      <c r="J36" s="92"/>
      <c r="K36" s="92"/>
      <c r="L36" s="92"/>
      <c r="M36" s="92"/>
    </row>
    <row r="37" spans="8:13" s="93" customFormat="1" ht="16.5" customHeight="1">
      <c r="H37" s="170"/>
      <c r="J37" s="92"/>
      <c r="K37" s="92"/>
      <c r="L37" s="92"/>
      <c r="M37" s="92"/>
    </row>
    <row r="38" spans="8:13" s="93" customFormat="1" ht="16.5" customHeight="1">
      <c r="H38" s="170"/>
      <c r="J38" s="92"/>
      <c r="K38" s="92"/>
      <c r="L38" s="92"/>
      <c r="M38" s="92"/>
    </row>
    <row r="39" spans="8:13" s="93" customFormat="1" ht="16.5" customHeight="1">
      <c r="H39" s="170"/>
      <c r="J39" s="92"/>
      <c r="K39" s="92"/>
      <c r="L39" s="92"/>
      <c r="M39" s="92"/>
    </row>
    <row r="40" spans="8:13" s="93" customFormat="1" ht="16.5" customHeight="1">
      <c r="H40" s="170"/>
      <c r="J40" s="92"/>
      <c r="K40" s="92"/>
      <c r="L40" s="92"/>
      <c r="M40" s="92"/>
    </row>
    <row r="41" spans="8:13" s="93" customFormat="1" ht="16.5" customHeight="1">
      <c r="H41" s="170"/>
      <c r="J41" s="92"/>
      <c r="K41" s="92"/>
      <c r="L41" s="92"/>
      <c r="M41" s="92"/>
    </row>
    <row r="42" spans="8:13" s="93" customFormat="1" ht="16.5" customHeight="1">
      <c r="H42" s="170"/>
      <c r="J42" s="92"/>
      <c r="K42" s="92"/>
      <c r="L42" s="92"/>
      <c r="M42" s="92"/>
    </row>
    <row r="43" spans="8:13" s="93" customFormat="1" ht="16.5" customHeight="1">
      <c r="H43" s="170"/>
      <c r="J43" s="92"/>
      <c r="K43" s="92"/>
      <c r="L43" s="92"/>
      <c r="M43" s="92"/>
    </row>
    <row r="44" spans="8:13" s="93" customFormat="1" ht="16.5" customHeight="1">
      <c r="H44" s="170"/>
      <c r="J44" s="92"/>
      <c r="K44" s="92"/>
      <c r="L44" s="92"/>
      <c r="M44" s="92"/>
    </row>
    <row r="45" spans="8:13" s="93" customFormat="1" ht="16.5" customHeight="1">
      <c r="H45" s="170"/>
      <c r="J45" s="92"/>
      <c r="K45" s="92"/>
      <c r="L45" s="92"/>
      <c r="M45" s="92"/>
    </row>
    <row r="46" spans="8:13" s="93" customFormat="1" ht="16.5" customHeight="1">
      <c r="H46" s="170"/>
      <c r="J46" s="92"/>
      <c r="K46" s="92"/>
      <c r="L46" s="92"/>
      <c r="M46" s="92"/>
    </row>
    <row r="47" spans="8:13" s="93" customFormat="1" ht="16.5" customHeight="1">
      <c r="H47" s="170"/>
      <c r="J47" s="92"/>
      <c r="K47" s="92"/>
      <c r="L47" s="92"/>
      <c r="M47" s="92"/>
    </row>
    <row r="48" spans="8:13" s="93" customFormat="1" ht="16.5" customHeight="1">
      <c r="H48" s="170"/>
      <c r="J48" s="92"/>
      <c r="K48" s="92"/>
      <c r="L48" s="92"/>
      <c r="M48" s="92"/>
    </row>
    <row r="49" spans="8:13" s="93" customFormat="1" ht="16.5" customHeight="1">
      <c r="H49" s="170"/>
      <c r="J49" s="92"/>
      <c r="K49" s="92"/>
      <c r="L49" s="92"/>
      <c r="M49" s="92"/>
    </row>
    <row r="50" spans="8:13" s="93" customFormat="1" ht="16.5" customHeight="1">
      <c r="H50" s="170"/>
      <c r="J50" s="92"/>
      <c r="K50" s="92"/>
      <c r="L50" s="92"/>
      <c r="M50" s="92"/>
    </row>
    <row r="51" spans="8:13" s="93" customFormat="1" ht="16.5" customHeight="1">
      <c r="H51" s="170"/>
      <c r="J51" s="92"/>
      <c r="K51" s="92"/>
      <c r="L51" s="92"/>
      <c r="M51" s="92"/>
    </row>
    <row r="52" spans="8:13" s="93" customFormat="1" ht="16.5" customHeight="1">
      <c r="H52" s="170"/>
      <c r="J52" s="92"/>
      <c r="K52" s="92"/>
      <c r="L52" s="92"/>
      <c r="M52" s="92"/>
    </row>
    <row r="53" spans="8:13" s="93" customFormat="1" ht="16.5" customHeight="1">
      <c r="H53" s="170"/>
      <c r="J53" s="92"/>
      <c r="K53" s="92"/>
      <c r="L53" s="92"/>
      <c r="M53" s="92"/>
    </row>
    <row r="54" spans="8:13" s="93" customFormat="1" ht="16.5" customHeight="1">
      <c r="H54" s="170"/>
      <c r="J54" s="92"/>
      <c r="K54" s="92"/>
      <c r="L54" s="92"/>
      <c r="M54" s="92"/>
    </row>
    <row r="55" spans="8:13" s="93" customFormat="1" ht="16.5" customHeight="1">
      <c r="H55" s="170"/>
      <c r="J55" s="92"/>
      <c r="K55" s="92"/>
      <c r="L55" s="92"/>
      <c r="M55" s="92"/>
    </row>
    <row r="56" spans="8:13" s="93" customFormat="1" ht="16.5" customHeight="1">
      <c r="H56" s="170"/>
      <c r="J56" s="92"/>
      <c r="K56" s="92"/>
      <c r="L56" s="92"/>
      <c r="M56" s="92"/>
    </row>
    <row r="57" spans="8:13" s="93" customFormat="1" ht="16.5" customHeight="1">
      <c r="H57" s="170"/>
      <c r="J57" s="92"/>
      <c r="K57" s="92"/>
      <c r="L57" s="92"/>
      <c r="M57" s="92"/>
    </row>
    <row r="58" spans="8:13" s="93" customFormat="1" ht="16.5" customHeight="1">
      <c r="H58" s="170"/>
      <c r="J58" s="92"/>
      <c r="K58" s="92"/>
      <c r="L58" s="92"/>
      <c r="M58" s="92"/>
    </row>
    <row r="59" spans="8:13" s="93" customFormat="1" ht="16.5" customHeight="1">
      <c r="H59" s="170"/>
      <c r="J59" s="92"/>
      <c r="K59" s="92"/>
      <c r="L59" s="92"/>
      <c r="M59" s="92"/>
    </row>
    <row r="60" spans="8:13" s="93" customFormat="1" ht="16.5" customHeight="1">
      <c r="H60" s="170"/>
      <c r="J60" s="92"/>
      <c r="K60" s="92"/>
      <c r="L60" s="92"/>
      <c r="M60" s="92"/>
    </row>
    <row r="61" spans="8:13" s="93" customFormat="1" ht="16.5" customHeight="1">
      <c r="H61" s="170"/>
      <c r="J61" s="92"/>
      <c r="K61" s="92"/>
      <c r="L61" s="92"/>
      <c r="M61" s="92"/>
    </row>
    <row r="62" spans="8:13" s="93" customFormat="1" ht="16.5" customHeight="1">
      <c r="H62" s="170"/>
      <c r="J62" s="92"/>
      <c r="K62" s="92"/>
      <c r="L62" s="92"/>
      <c r="M62" s="92"/>
    </row>
    <row r="63" spans="8:13" s="93" customFormat="1" ht="16.5" customHeight="1">
      <c r="H63" s="170"/>
      <c r="J63" s="92"/>
      <c r="K63" s="92"/>
      <c r="L63" s="92"/>
      <c r="M63" s="92"/>
    </row>
    <row r="64" spans="8:13" s="93" customFormat="1" ht="16.5" customHeight="1">
      <c r="H64" s="170"/>
      <c r="J64" s="92"/>
      <c r="K64" s="92"/>
      <c r="L64" s="92"/>
      <c r="M64" s="92"/>
    </row>
    <row r="65" spans="1:13" s="93" customFormat="1" ht="16.5" customHeight="1">
      <c r="H65" s="170"/>
      <c r="J65" s="92"/>
      <c r="K65" s="92"/>
      <c r="L65" s="92"/>
      <c r="M65" s="92"/>
    </row>
    <row r="66" spans="1:13" s="93" customFormat="1" ht="16.5" customHeight="1">
      <c r="H66" s="170"/>
      <c r="J66" s="92"/>
      <c r="K66" s="92"/>
      <c r="L66" s="92"/>
      <c r="M66" s="92"/>
    </row>
    <row r="67" spans="1:13" s="93" customFormat="1" ht="16.5" customHeight="1">
      <c r="H67" s="170"/>
      <c r="J67" s="92"/>
      <c r="K67" s="92"/>
      <c r="L67" s="92"/>
      <c r="M67" s="92"/>
    </row>
    <row r="68" spans="1:13" s="93" customFormat="1" ht="16.5" customHeight="1">
      <c r="H68" s="170"/>
      <c r="J68" s="92"/>
      <c r="K68" s="92"/>
      <c r="L68" s="92"/>
      <c r="M68" s="92"/>
    </row>
    <row r="69" spans="1:13" s="93" customFormat="1" ht="16.5" customHeight="1">
      <c r="H69" s="161"/>
    </row>
    <row r="70" spans="1:13" s="93" customFormat="1" ht="16.5" customHeight="1">
      <c r="H70" s="161"/>
    </row>
    <row r="71" spans="1:13" s="93" customFormat="1" ht="16.5" customHeight="1">
      <c r="A71" s="94"/>
      <c r="H71" s="161"/>
    </row>
    <row r="72" spans="1:13" s="93" customFormat="1" ht="16.5" customHeight="1">
      <c r="H72" s="161"/>
    </row>
    <row r="73" spans="1:13" s="93" customFormat="1" ht="16.5" customHeight="1">
      <c r="H73" s="161"/>
    </row>
    <row r="74" spans="1:13" s="93" customFormat="1" ht="16.5" customHeight="1"/>
    <row r="75" spans="1:13" s="93" customFormat="1" ht="16.5" customHeight="1">
      <c r="H75" s="170"/>
    </row>
    <row r="76" spans="1:13" s="93" customFormat="1" ht="16.5" customHeight="1">
      <c r="H76" s="170"/>
    </row>
    <row r="77" spans="1:13" s="93" customFormat="1" ht="16.5" customHeight="1">
      <c r="H77" s="170"/>
    </row>
    <row r="78" spans="1:13" s="93" customFormat="1" ht="16.5" customHeight="1">
      <c r="H78" s="170"/>
    </row>
    <row r="79" spans="1:13" s="93" customFormat="1" ht="16.5" customHeight="1">
      <c r="H79" s="170"/>
    </row>
    <row r="80" spans="1:13" s="93" customFormat="1" ht="16.5" customHeight="1">
      <c r="H80" s="170"/>
    </row>
    <row r="81" spans="2:48" s="93" customFormat="1" ht="16.5" customHeight="1">
      <c r="H81" s="170"/>
    </row>
    <row r="82" spans="2:48" s="93" customFormat="1" ht="16.5" customHeight="1">
      <c r="H82" s="170"/>
    </row>
    <row r="83" spans="2:48" s="93" customFormat="1" ht="16.5" customHeight="1">
      <c r="H83" s="170"/>
    </row>
    <row r="84" spans="2:48" s="93" customFormat="1" ht="16.5" customHeight="1">
      <c r="H84" s="170"/>
    </row>
    <row r="85" spans="2:48" s="93" customFormat="1" ht="16.5" customHeight="1">
      <c r="H85" s="170"/>
    </row>
    <row r="86" spans="2:48" s="93" customFormat="1" ht="16.5" customHeight="1"/>
    <row r="87" spans="2:48" s="93" customFormat="1" ht="16.5" customHeight="1"/>
    <row r="88" spans="2:48" s="93" customFormat="1" ht="16.5" customHeight="1"/>
    <row r="89" spans="2:48" s="93" customFormat="1" ht="16.5" customHeight="1"/>
    <row r="90" spans="2:48" s="93" customFormat="1" ht="16.5" customHeight="1"/>
    <row r="91" spans="2:48" s="93" customFormat="1" ht="16.5" customHeight="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6.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6.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6.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6.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s="93" customFormat="1" ht="16.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100" spans="1:48" s="88" customFormat="1" ht="26.25" customHeight="1">
      <c r="A100" s="498" t="s">
        <v>144</v>
      </c>
      <c r="B100" s="498"/>
      <c r="C100" s="499"/>
      <c r="D100" s="87"/>
      <c r="E100" s="500" t="str">
        <f>HYPERLINK("#目录!A84","跳转回到目录页")</f>
        <v>跳转回到目录页</v>
      </c>
      <c r="F100" s="501"/>
    </row>
    <row r="101" spans="1:48" s="88" customFormat="1" ht="26.25" customHeight="1">
      <c r="A101" s="502" t="s">
        <v>1216</v>
      </c>
      <c r="B101" s="502"/>
      <c r="C101" s="503" t="s">
        <v>145</v>
      </c>
      <c r="D101" s="503"/>
      <c r="E101" s="503"/>
      <c r="F101" s="503"/>
      <c r="G101" s="503"/>
      <c r="H101" s="503"/>
      <c r="I101" s="503"/>
      <c r="J101" s="503"/>
      <c r="K101" s="503"/>
      <c r="L101" s="503"/>
      <c r="M101" s="503"/>
    </row>
    <row r="102" spans="1:48" s="88" customFormat="1" ht="16.5" customHeight="1">
      <c r="A102" s="496" t="s">
        <v>1217</v>
      </c>
      <c r="B102" s="496"/>
      <c r="C102" s="493" t="s">
        <v>2308</v>
      </c>
      <c r="D102" s="493"/>
      <c r="E102" s="493"/>
      <c r="F102" s="493"/>
      <c r="G102" s="493"/>
      <c r="H102" s="493"/>
      <c r="I102" s="493"/>
      <c r="J102" s="493"/>
      <c r="K102" s="493"/>
      <c r="L102" s="493"/>
      <c r="M102" s="493"/>
    </row>
    <row r="103" spans="1:48" s="88" customFormat="1" ht="16.5" customHeight="1">
      <c r="A103" s="496" t="s">
        <v>5786</v>
      </c>
      <c r="B103" s="496"/>
      <c r="C103" s="497" t="s">
        <v>145</v>
      </c>
      <c r="D103" s="497"/>
      <c r="E103" s="497"/>
      <c r="F103" s="497"/>
      <c r="G103" s="497"/>
      <c r="H103" s="497"/>
      <c r="I103" s="497"/>
      <c r="J103" s="497"/>
      <c r="K103" s="497"/>
      <c r="L103" s="497"/>
      <c r="M103" s="497"/>
    </row>
    <row r="104" spans="1:48" s="88" customFormat="1" ht="16.5" customHeight="1">
      <c r="A104" s="496" t="s">
        <v>1220</v>
      </c>
      <c r="B104" s="496"/>
      <c r="C104" s="493" t="s">
        <v>2309</v>
      </c>
      <c r="D104" s="493"/>
      <c r="E104" s="493"/>
      <c r="F104" s="493"/>
      <c r="G104" s="493"/>
      <c r="H104" s="493"/>
      <c r="I104" s="493"/>
      <c r="J104" s="493"/>
      <c r="K104" s="493"/>
      <c r="L104" s="493"/>
      <c r="M104" s="493"/>
    </row>
    <row r="105" spans="1:48" s="88" customFormat="1" ht="16.5" customHeight="1">
      <c r="A105" s="496" t="s">
        <v>5785</v>
      </c>
      <c r="B105" s="496"/>
      <c r="C105" s="493" t="s">
        <v>2310</v>
      </c>
      <c r="D105" s="493"/>
      <c r="E105" s="493"/>
      <c r="F105" s="493"/>
      <c r="G105" s="493"/>
      <c r="H105" s="493"/>
      <c r="I105" s="493"/>
      <c r="J105" s="493"/>
      <c r="K105" s="493"/>
      <c r="L105" s="493"/>
      <c r="M105" s="493"/>
    </row>
    <row r="106" spans="1:48" s="88" customFormat="1" ht="16.5" customHeight="1">
      <c r="A106" s="89" t="s">
        <v>1223</v>
      </c>
      <c r="B106" s="92" t="s">
        <v>1576</v>
      </c>
      <c r="C106" s="493" t="s">
        <v>2284</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24.75" customHeight="1">
      <c r="A109" s="89" t="s">
        <v>1228</v>
      </c>
      <c r="B109" s="493" t="s">
        <v>2311</v>
      </c>
      <c r="C109" s="493"/>
      <c r="D109" s="493"/>
      <c r="E109" s="493"/>
      <c r="F109" s="493"/>
      <c r="G109" s="493"/>
      <c r="H109" s="493"/>
      <c r="I109" s="493"/>
      <c r="J109" s="493"/>
      <c r="K109" s="493"/>
      <c r="L109" s="493"/>
      <c r="M109" s="493"/>
    </row>
    <row r="110" spans="1:48" ht="36.75" customHeight="1">
      <c r="A110" s="89" t="s">
        <v>1229</v>
      </c>
      <c r="B110" s="493" t="s">
        <v>2312</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13" s="93" customFormat="1" ht="16.5" customHeight="1">
      <c r="A113" s="94" t="s">
        <v>1232</v>
      </c>
      <c r="B113" s="93" t="s">
        <v>1773</v>
      </c>
    </row>
    <row r="114" spans="1:13" ht="16.5" customHeight="1">
      <c r="B114" s="93"/>
      <c r="C114" s="93"/>
      <c r="D114" s="93"/>
      <c r="E114" s="93"/>
      <c r="F114" s="93"/>
      <c r="G114" s="93"/>
      <c r="H114" s="265"/>
      <c r="I114" s="232"/>
    </row>
    <row r="115" spans="1:13" ht="16.5" customHeight="1">
      <c r="B115" s="482" t="s">
        <v>2087</v>
      </c>
      <c r="C115" s="504"/>
      <c r="D115" s="504"/>
      <c r="E115" s="504"/>
      <c r="F115" s="504"/>
      <c r="G115" s="97" t="s">
        <v>1431</v>
      </c>
      <c r="H115" s="104" t="s">
        <v>1238</v>
      </c>
    </row>
    <row r="116" spans="1:13" ht="16.5" customHeight="1">
      <c r="B116" s="99">
        <v>2</v>
      </c>
      <c r="C116" s="110">
        <v>20</v>
      </c>
      <c r="D116" s="297">
        <v>12</v>
      </c>
      <c r="E116" s="110">
        <v>8</v>
      </c>
      <c r="F116" s="110">
        <v>5</v>
      </c>
      <c r="G116" s="101">
        <f>LCM(B116:F116)</f>
        <v>120</v>
      </c>
      <c r="H116" s="108" t="s">
        <v>2313</v>
      </c>
    </row>
    <row r="117" spans="1:13" ht="16.5" customHeight="1">
      <c r="B117" s="99">
        <v>5</v>
      </c>
      <c r="C117" s="110">
        <v>2.6</v>
      </c>
      <c r="D117" s="297">
        <v>48</v>
      </c>
      <c r="E117" s="110">
        <v>15.2</v>
      </c>
      <c r="F117" s="110">
        <v>36</v>
      </c>
      <c r="G117" s="101">
        <f>LCM(B117:F117)</f>
        <v>720</v>
      </c>
      <c r="H117" s="108" t="s">
        <v>2314</v>
      </c>
    </row>
    <row r="118" spans="1:13" ht="16.5" customHeight="1">
      <c r="B118" s="298">
        <v>10</v>
      </c>
      <c r="C118" s="297">
        <v>60</v>
      </c>
      <c r="D118" s="297">
        <v>-22</v>
      </c>
      <c r="E118" s="297">
        <v>15</v>
      </c>
      <c r="F118" s="297">
        <v>8</v>
      </c>
      <c r="G118" s="101" t="e">
        <f>LCM(B118:F118)</f>
        <v>#NUM!</v>
      </c>
      <c r="H118" s="108" t="s">
        <v>2315</v>
      </c>
      <c r="J118" s="93" t="s">
        <v>2304</v>
      </c>
      <c r="K118" s="93"/>
      <c r="L118" s="93"/>
    </row>
    <row r="119" spans="1:13" ht="16.5" customHeight="1">
      <c r="B119" s="182">
        <v>10</v>
      </c>
      <c r="C119" s="299">
        <v>60</v>
      </c>
      <c r="D119" s="241" t="s">
        <v>1904</v>
      </c>
      <c r="E119" s="299">
        <v>15</v>
      </c>
      <c r="F119" s="299">
        <v>8</v>
      </c>
      <c r="G119" s="107" t="e">
        <f>LCM(B119:F119)</f>
        <v>#VALUE!</v>
      </c>
      <c r="H119" s="108" t="s">
        <v>2316</v>
      </c>
      <c r="I119" s="93"/>
      <c r="J119" s="509" t="s">
        <v>2307</v>
      </c>
      <c r="K119" s="509"/>
      <c r="L119" s="509"/>
      <c r="M119" s="509"/>
    </row>
    <row r="120" spans="1:13" ht="16.5" customHeight="1">
      <c r="J120" s="509"/>
      <c r="K120" s="509"/>
      <c r="L120" s="509"/>
      <c r="M120" s="509"/>
    </row>
    <row r="121" spans="1:13" ht="16.5" customHeight="1"/>
    <row r="122" spans="1:13" ht="16.5" customHeight="1"/>
  </sheetData>
  <mergeCells count="4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B16:C16"/>
    <mergeCell ref="B24:F24"/>
    <mergeCell ref="A100:C100"/>
    <mergeCell ref="E100:F100"/>
    <mergeCell ref="A101:B101"/>
    <mergeCell ref="C101:M101"/>
    <mergeCell ref="J27:M28"/>
    <mergeCell ref="J29:M30"/>
    <mergeCell ref="J119:M120"/>
    <mergeCell ref="A105:B105"/>
    <mergeCell ref="C105:M105"/>
    <mergeCell ref="C106:M106"/>
    <mergeCell ref="C107:M107"/>
    <mergeCell ref="C108:M108"/>
    <mergeCell ref="B109:M109"/>
    <mergeCell ref="B110:M110"/>
    <mergeCell ref="B111:L111"/>
    <mergeCell ref="B115:F115"/>
    <mergeCell ref="A102:B102"/>
    <mergeCell ref="C102:M102"/>
    <mergeCell ref="A103:B103"/>
    <mergeCell ref="C103:M103"/>
    <mergeCell ref="A104:B104"/>
    <mergeCell ref="C104:M104"/>
  </mergeCells>
  <phoneticPr fontId="2" type="noConversion"/>
  <pageMargins left="0.75" right="0.75" top="1" bottom="1" header="0.5" footer="0.5"/>
  <pageSetup paperSize="9" orientation="portrait" horizontalDpi="0" verticalDpi="0"/>
  <headerFooter scaleWithDoc="0"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403"/>
  <sheetViews>
    <sheetView workbookViewId="0">
      <pane ySplit="2" topLeftCell="A3" activePane="bottomLeft" state="frozen"/>
      <selection activeCell="B7" sqref="B7:C7"/>
      <selection pane="bottomLeft" activeCell="M6" sqref="M6"/>
    </sheetView>
  </sheetViews>
  <sheetFormatPr defaultColWidth="9" defaultRowHeight="21" customHeight="1"/>
  <cols>
    <col min="1" max="1" width="16.3984375" style="88" customWidth="1"/>
    <col min="2" max="2" width="9.296875" style="88" customWidth="1"/>
    <col min="3" max="6" width="9.19921875" style="88" customWidth="1"/>
    <col min="7" max="12" width="9.09765625" style="88" customWidth="1"/>
    <col min="13" max="13" width="9.19921875" style="86" customWidth="1"/>
    <col min="14" max="16384" width="9" style="88"/>
  </cols>
  <sheetData>
    <row r="1" spans="1:13" ht="58.5" customHeight="1">
      <c r="A1" s="473" t="s">
        <v>716</v>
      </c>
      <c r="B1" s="474"/>
      <c r="C1" s="474"/>
      <c r="D1" s="474"/>
      <c r="E1" s="474"/>
      <c r="F1" s="474"/>
      <c r="G1" s="474"/>
      <c r="H1" s="474"/>
      <c r="I1" s="474"/>
      <c r="J1" s="474"/>
      <c r="K1" s="474"/>
      <c r="L1" s="474"/>
      <c r="M1" s="475"/>
    </row>
    <row r="2" spans="1:13" s="409" customFormat="1" ht="22.5" customHeight="1">
      <c r="A2" s="407"/>
      <c r="B2" s="408" t="str">
        <f>HYPERLINK("#目录!A2","返回目录")</f>
        <v>返回目录</v>
      </c>
      <c r="C2" s="476"/>
      <c r="D2" s="477"/>
      <c r="E2" s="477"/>
      <c r="F2" s="477"/>
      <c r="G2" s="477"/>
      <c r="H2" s="477"/>
      <c r="I2" s="477"/>
      <c r="J2" s="477"/>
      <c r="K2" s="477"/>
      <c r="L2" s="477"/>
      <c r="M2" s="477"/>
    </row>
    <row r="3" spans="1:13" ht="21" customHeight="1">
      <c r="A3" s="410" t="str">
        <f>HYPERLINK("#A3","A")</f>
        <v>A</v>
      </c>
      <c r="B3" s="411" t="str">
        <f>HYPERLINK("#A26","B")</f>
        <v>B</v>
      </c>
      <c r="C3" s="411" t="str">
        <f>HYPERLINK("#A39","C")</f>
        <v>C</v>
      </c>
      <c r="D3" s="411" t="str">
        <f>HYPERLINK("#A75","D")</f>
        <v>D</v>
      </c>
      <c r="E3" s="411" t="str">
        <f>HYPERLINK("#A107","E")</f>
        <v>E</v>
      </c>
      <c r="F3" s="411" t="str">
        <f>HYPERLINK("#A120","F")</f>
        <v>F</v>
      </c>
      <c r="G3" s="411" t="str">
        <f>HYPERLINK("#A138","G")</f>
        <v>G</v>
      </c>
      <c r="H3" s="411" t="str">
        <f>HYPERLINK("#A149","H")</f>
        <v>H</v>
      </c>
      <c r="I3" s="411" t="str">
        <f>HYPERLINK("#A159","I")</f>
        <v>I</v>
      </c>
      <c r="J3" s="411" t="str">
        <f>HYPERLINK("#A199","J")</f>
        <v>J</v>
      </c>
      <c r="K3" s="411" t="str">
        <f>HYPERLINK("#A202","K")</f>
        <v>K</v>
      </c>
      <c r="L3" s="411" t="str">
        <f>HYPERLINK("#A205","L")</f>
        <v>L</v>
      </c>
      <c r="M3" s="412" t="s">
        <v>717</v>
      </c>
    </row>
    <row r="4" spans="1:13" ht="21" customHeight="1">
      <c r="A4" s="413" t="str">
        <f>HYPERLINK("#A244","N")</f>
        <v>N</v>
      </c>
      <c r="B4" s="414" t="str">
        <f>HYPERLINK("#A260","O")</f>
        <v>O</v>
      </c>
      <c r="C4" s="414" t="str">
        <f>HYPERLINK("#A272","P")</f>
        <v>P</v>
      </c>
      <c r="D4" s="414" t="str">
        <f>HYPERLINK("#A290","Q")</f>
        <v>Q</v>
      </c>
      <c r="E4" s="414" t="str">
        <f>HYPERLINK("#A294","R")</f>
        <v>R</v>
      </c>
      <c r="F4" s="414" t="str">
        <f>HYPERLINK("#A319","S")</f>
        <v>S</v>
      </c>
      <c r="G4" s="414" t="str">
        <f>HYPERLINK("#A351","T")</f>
        <v>T</v>
      </c>
      <c r="H4" s="414" t="str">
        <f>HYPERLINK("#A373","U")</f>
        <v>U</v>
      </c>
      <c r="I4" s="414" t="str">
        <f>HYPERLINK("#A376","V")</f>
        <v>V</v>
      </c>
      <c r="J4" s="414" t="str">
        <f>HYPERLINK("#A385","W")</f>
        <v>W</v>
      </c>
      <c r="K4" s="414" t="str">
        <f>HYPERLINK("#A391","X")</f>
        <v>X</v>
      </c>
      <c r="L4" s="414" t="str">
        <f>HYPERLINK("#A395","Y")</f>
        <v>Y</v>
      </c>
      <c r="M4" s="415" t="s">
        <v>718</v>
      </c>
    </row>
    <row r="5" spans="1:13" ht="21" customHeight="1">
      <c r="A5" s="416" t="s">
        <v>719</v>
      </c>
      <c r="B5" s="417" t="str">
        <f>HYPERLINK("#A3","跳转首行")</f>
        <v>跳转首行</v>
      </c>
      <c r="C5" s="472" t="s">
        <v>720</v>
      </c>
      <c r="D5" s="472"/>
      <c r="E5" s="472"/>
      <c r="F5" s="472"/>
      <c r="G5" s="472"/>
      <c r="H5" s="472"/>
      <c r="I5" s="472"/>
      <c r="J5" s="472"/>
      <c r="K5" s="472"/>
      <c r="L5" s="472"/>
      <c r="M5" s="472"/>
    </row>
    <row r="6" spans="1:13" ht="21" customHeight="1">
      <c r="A6" s="418" t="s">
        <v>147</v>
      </c>
      <c r="B6" s="458" t="s">
        <v>721</v>
      </c>
      <c r="C6" s="458"/>
      <c r="D6" s="458"/>
      <c r="E6" s="458"/>
      <c r="F6" s="458"/>
      <c r="G6" s="458"/>
      <c r="H6" s="458"/>
      <c r="I6" s="458"/>
      <c r="J6" s="458"/>
      <c r="K6" s="458"/>
      <c r="L6" s="458"/>
      <c r="M6" s="420" t="str">
        <f>HYPERLINK("#转换或检查符号!A1","跳转")</f>
        <v>跳转</v>
      </c>
    </row>
    <row r="7" spans="1:13" ht="21" customHeight="1">
      <c r="A7" s="421" t="s">
        <v>722</v>
      </c>
      <c r="B7" s="453" t="s">
        <v>723</v>
      </c>
      <c r="C7" s="453"/>
      <c r="D7" s="453"/>
      <c r="E7" s="453"/>
      <c r="F7" s="453"/>
      <c r="G7" s="453"/>
      <c r="H7" s="453"/>
      <c r="I7" s="453"/>
      <c r="J7" s="453"/>
      <c r="K7" s="453"/>
      <c r="L7" s="453"/>
      <c r="M7" s="422" t="str">
        <f>HYPERLINK("#定期付息证券!A200","跳转")</f>
        <v>跳转</v>
      </c>
    </row>
    <row r="8" spans="1:13" ht="21" customHeight="1">
      <c r="A8" s="418" t="s">
        <v>724</v>
      </c>
      <c r="B8" s="458" t="s">
        <v>725</v>
      </c>
      <c r="C8" s="458"/>
      <c r="D8" s="458"/>
      <c r="E8" s="458"/>
      <c r="F8" s="458"/>
      <c r="G8" s="458"/>
      <c r="H8" s="458"/>
      <c r="I8" s="458"/>
      <c r="J8" s="458"/>
      <c r="K8" s="458"/>
      <c r="L8" s="458"/>
      <c r="M8" s="420" t="str">
        <f>HYPERLINK("#到期付息证券!A200","跳转")</f>
        <v>跳转</v>
      </c>
    </row>
    <row r="9" spans="1:13" ht="21" customHeight="1">
      <c r="A9" s="421" t="s">
        <v>207</v>
      </c>
      <c r="B9" s="453" t="s">
        <v>726</v>
      </c>
      <c r="C9" s="453"/>
      <c r="D9" s="453"/>
      <c r="E9" s="453"/>
      <c r="F9" s="453"/>
      <c r="G9" s="453"/>
      <c r="H9" s="453"/>
      <c r="I9" s="453"/>
      <c r="J9" s="453"/>
      <c r="K9" s="453"/>
      <c r="L9" s="453"/>
      <c r="M9" s="422" t="str">
        <f>HYPERLINK("#三角与反三角函数!A400","跳转")</f>
        <v>跳转</v>
      </c>
    </row>
    <row r="10" spans="1:13" ht="21" customHeight="1">
      <c r="A10" s="418" t="s">
        <v>225</v>
      </c>
      <c r="B10" s="458" t="s">
        <v>727</v>
      </c>
      <c r="C10" s="458"/>
      <c r="D10" s="458"/>
      <c r="E10" s="458"/>
      <c r="F10" s="458"/>
      <c r="G10" s="458"/>
      <c r="H10" s="458"/>
      <c r="I10" s="458"/>
      <c r="J10" s="458"/>
      <c r="K10" s="458"/>
      <c r="L10" s="458"/>
      <c r="M10" s="420" t="str">
        <f>HYPERLINK("#双曲与反双曲函数!A400","跳转")</f>
        <v>跳转</v>
      </c>
    </row>
    <row r="11" spans="1:13" ht="21" customHeight="1">
      <c r="A11" s="421" t="s">
        <v>282</v>
      </c>
      <c r="B11" s="453" t="s">
        <v>728</v>
      </c>
      <c r="C11" s="453"/>
      <c r="D11" s="453"/>
      <c r="E11" s="453"/>
      <c r="F11" s="453"/>
      <c r="G11" s="453"/>
      <c r="H11" s="453"/>
      <c r="I11" s="453"/>
      <c r="J11" s="453"/>
      <c r="K11" s="453"/>
      <c r="L11" s="453"/>
      <c r="M11" s="422" t="str">
        <f>HYPERLINK("#单元格引用或单元格位置!A200","跳转")</f>
        <v>跳转</v>
      </c>
    </row>
    <row r="12" spans="1:13" ht="21" customHeight="1">
      <c r="A12" s="418" t="s">
        <v>729</v>
      </c>
      <c r="B12" s="458" t="s">
        <v>5975</v>
      </c>
      <c r="C12" s="458"/>
      <c r="D12" s="458"/>
      <c r="E12" s="458"/>
      <c r="F12" s="458"/>
      <c r="G12" s="458"/>
      <c r="H12" s="458"/>
      <c r="I12" s="458"/>
      <c r="J12" s="458"/>
      <c r="K12" s="458"/>
      <c r="L12" s="458"/>
      <c r="M12" s="420" t="str">
        <f>HYPERLINK("#计算折旧费!A600","跳转")</f>
        <v>跳转</v>
      </c>
    </row>
    <row r="13" spans="1:13" ht="21" customHeight="1">
      <c r="A13" s="421" t="s">
        <v>730</v>
      </c>
      <c r="B13" s="453" t="s">
        <v>731</v>
      </c>
      <c r="C13" s="453"/>
      <c r="D13" s="453"/>
      <c r="E13" s="453"/>
      <c r="F13" s="453"/>
      <c r="G13" s="453"/>
      <c r="H13" s="453"/>
      <c r="I13" s="453"/>
      <c r="J13" s="453"/>
      <c r="K13" s="453"/>
      <c r="L13" s="453"/>
      <c r="M13" s="422" t="str">
        <f>HYPERLINK("#计算折旧费!A500","跳转")</f>
        <v>跳转</v>
      </c>
    </row>
    <row r="14" spans="1:13" ht="21" customHeight="1">
      <c r="A14" s="418" t="s">
        <v>248</v>
      </c>
      <c r="B14" s="470" t="s">
        <v>732</v>
      </c>
      <c r="C14" s="470"/>
      <c r="D14" s="470"/>
      <c r="E14" s="470"/>
      <c r="F14" s="470"/>
      <c r="G14" s="470"/>
      <c r="H14" s="470"/>
      <c r="I14" s="470"/>
      <c r="J14" s="470"/>
      <c r="K14" s="470"/>
      <c r="L14" s="470"/>
      <c r="M14" s="420" t="str">
        <f>HYPERLINK("#判断多个条件!A1","跳转")</f>
        <v>跳转</v>
      </c>
    </row>
    <row r="15" spans="1:13" ht="21" customHeight="1">
      <c r="A15" s="421" t="s">
        <v>293</v>
      </c>
      <c r="B15" s="453" t="s">
        <v>733</v>
      </c>
      <c r="C15" s="453"/>
      <c r="D15" s="453"/>
      <c r="E15" s="453"/>
      <c r="F15" s="453"/>
      <c r="G15" s="453"/>
      <c r="H15" s="453"/>
      <c r="I15" s="453"/>
      <c r="J15" s="453"/>
      <c r="K15" s="453"/>
      <c r="L15" s="453"/>
      <c r="M15" s="422" t="str">
        <f>HYPERLINK("#计算区域内的要素!A200","跳转")</f>
        <v>跳转</v>
      </c>
    </row>
    <row r="16" spans="1:13" ht="21" customHeight="1">
      <c r="A16" s="418" t="s">
        <v>305</v>
      </c>
      <c r="B16" s="458" t="s">
        <v>734</v>
      </c>
      <c r="C16" s="458"/>
      <c r="D16" s="458"/>
      <c r="E16" s="458"/>
      <c r="F16" s="458"/>
      <c r="G16" s="458"/>
      <c r="H16" s="458"/>
      <c r="I16" s="458"/>
      <c r="J16" s="458"/>
      <c r="K16" s="458"/>
      <c r="L16" s="458"/>
      <c r="M16" s="420" t="str">
        <f>HYPERLINK("#全角半角字符转换!A1","跳转")</f>
        <v>跳转</v>
      </c>
    </row>
    <row r="17" spans="1:13" ht="21" customHeight="1">
      <c r="A17" s="421" t="s">
        <v>205</v>
      </c>
      <c r="B17" s="453" t="s">
        <v>735</v>
      </c>
      <c r="C17" s="453"/>
      <c r="D17" s="453"/>
      <c r="E17" s="453"/>
      <c r="F17" s="453"/>
      <c r="G17" s="453"/>
      <c r="H17" s="453"/>
      <c r="I17" s="453"/>
      <c r="J17" s="453"/>
      <c r="K17" s="453"/>
      <c r="L17" s="453"/>
      <c r="M17" s="422" t="str">
        <f>HYPERLINK("#三角与反三角函数!A300","跳转")</f>
        <v>跳转</v>
      </c>
    </row>
    <row r="18" spans="1:13" ht="21" customHeight="1">
      <c r="A18" s="418" t="s">
        <v>223</v>
      </c>
      <c r="B18" s="458" t="s">
        <v>736</v>
      </c>
      <c r="C18" s="458"/>
      <c r="D18" s="458"/>
      <c r="E18" s="458"/>
      <c r="F18" s="458"/>
      <c r="G18" s="458"/>
      <c r="H18" s="458"/>
      <c r="I18" s="458"/>
      <c r="J18" s="458"/>
      <c r="K18" s="458"/>
      <c r="L18" s="458"/>
      <c r="M18" s="420" t="str">
        <f>HYPERLINK("#双曲与反双曲函数!A300","跳转")</f>
        <v>跳转</v>
      </c>
    </row>
    <row r="19" spans="1:13" ht="21" customHeight="1">
      <c r="A19" s="421" t="s">
        <v>209</v>
      </c>
      <c r="B19" s="453" t="s">
        <v>737</v>
      </c>
      <c r="C19" s="453"/>
      <c r="D19" s="453"/>
      <c r="E19" s="453"/>
      <c r="F19" s="453"/>
      <c r="G19" s="453"/>
      <c r="H19" s="453"/>
      <c r="I19" s="453"/>
      <c r="J19" s="453"/>
      <c r="K19" s="453"/>
      <c r="L19" s="453"/>
      <c r="M19" s="422" t="str">
        <f>HYPERLINK("#三角与反三角函数!A500","跳转")</f>
        <v>跳转</v>
      </c>
    </row>
    <row r="20" spans="1:13" ht="21" customHeight="1">
      <c r="A20" s="418" t="s">
        <v>211</v>
      </c>
      <c r="B20" s="458" t="s">
        <v>738</v>
      </c>
      <c r="C20" s="458"/>
      <c r="D20" s="458"/>
      <c r="E20" s="458"/>
      <c r="F20" s="458"/>
      <c r="G20" s="458"/>
      <c r="H20" s="458"/>
      <c r="I20" s="458"/>
      <c r="J20" s="458"/>
      <c r="K20" s="458"/>
      <c r="L20" s="458"/>
      <c r="M20" s="420" t="str">
        <f>HYPERLINK("#三角与反三角函数!A600","跳转")</f>
        <v>跳转</v>
      </c>
    </row>
    <row r="21" spans="1:13" ht="21" customHeight="1">
      <c r="A21" s="421" t="s">
        <v>227</v>
      </c>
      <c r="B21" s="453" t="s">
        <v>739</v>
      </c>
      <c r="C21" s="453"/>
      <c r="D21" s="453"/>
      <c r="E21" s="453"/>
      <c r="F21" s="453"/>
      <c r="G21" s="453"/>
      <c r="H21" s="453"/>
      <c r="I21" s="453"/>
      <c r="J21" s="453"/>
      <c r="K21" s="453"/>
      <c r="L21" s="453"/>
      <c r="M21" s="422" t="str">
        <f>HYPERLINK("#双曲与反双曲函数!A500","跳转")</f>
        <v>跳转</v>
      </c>
    </row>
    <row r="22" spans="1:13" ht="21" customHeight="1">
      <c r="A22" s="418" t="s">
        <v>454</v>
      </c>
      <c r="B22" s="458" t="s">
        <v>740</v>
      </c>
      <c r="C22" s="458"/>
      <c r="D22" s="458"/>
      <c r="E22" s="458"/>
      <c r="F22" s="458"/>
      <c r="G22" s="458"/>
      <c r="H22" s="458"/>
      <c r="I22" s="458"/>
      <c r="J22" s="458"/>
      <c r="K22" s="458"/>
      <c r="L22" s="458"/>
      <c r="M22" s="420" t="str">
        <f>HYPERLINK("#计算平均偏差和变动!A1","跳转")</f>
        <v>跳转</v>
      </c>
    </row>
    <row r="23" spans="1:13" ht="21" customHeight="1">
      <c r="A23" s="421" t="s">
        <v>397</v>
      </c>
      <c r="B23" s="453" t="s">
        <v>741</v>
      </c>
      <c r="C23" s="453"/>
      <c r="D23" s="453"/>
      <c r="E23" s="453"/>
      <c r="F23" s="453"/>
      <c r="G23" s="453"/>
      <c r="H23" s="453"/>
      <c r="I23" s="453"/>
      <c r="J23" s="453"/>
      <c r="K23" s="453"/>
      <c r="L23" s="453"/>
      <c r="M23" s="422" t="str">
        <f>HYPERLINK("#满足条件的列的各种计算!A100","跳转")</f>
        <v>跳转</v>
      </c>
    </row>
    <row r="24" spans="1:13" ht="21" customHeight="1">
      <c r="A24" s="418" t="s">
        <v>399</v>
      </c>
      <c r="B24" s="454" t="s">
        <v>742</v>
      </c>
      <c r="C24" s="454"/>
      <c r="D24" s="454"/>
      <c r="E24" s="454"/>
      <c r="F24" s="454"/>
      <c r="G24" s="454"/>
      <c r="H24" s="454"/>
      <c r="I24" s="454"/>
      <c r="J24" s="454"/>
      <c r="K24" s="454"/>
      <c r="L24" s="454"/>
      <c r="M24" s="423" t="str">
        <f>HYPERLINK("#平均值!A100","跳转")</f>
        <v>跳转</v>
      </c>
    </row>
    <row r="25" spans="1:13" ht="21" customHeight="1">
      <c r="A25" s="62"/>
      <c r="B25" s="455"/>
      <c r="C25" s="471"/>
      <c r="D25" s="471"/>
      <c r="E25" s="471"/>
      <c r="F25" s="471"/>
      <c r="G25" s="471"/>
      <c r="H25" s="471"/>
      <c r="I25" s="471"/>
      <c r="J25" s="471"/>
      <c r="K25" s="471"/>
      <c r="L25" s="471"/>
      <c r="M25" s="471"/>
    </row>
    <row r="26" spans="1:13" ht="21" customHeight="1">
      <c r="A26" s="416" t="s">
        <v>743</v>
      </c>
      <c r="B26" s="424" t="str">
        <f>HYPERLINK("#A3","跳转首行")</f>
        <v>跳转首行</v>
      </c>
      <c r="C26" s="472" t="s">
        <v>720</v>
      </c>
      <c r="D26" s="472"/>
      <c r="E26" s="472"/>
      <c r="F26" s="472"/>
      <c r="G26" s="472"/>
      <c r="H26" s="472"/>
      <c r="I26" s="472"/>
      <c r="J26" s="472"/>
      <c r="K26" s="472"/>
      <c r="L26" s="472"/>
      <c r="M26" s="472"/>
    </row>
    <row r="27" spans="1:13" ht="21" customHeight="1">
      <c r="A27" s="418" t="s">
        <v>367</v>
      </c>
      <c r="B27" s="458" t="s">
        <v>744</v>
      </c>
      <c r="C27" s="458"/>
      <c r="D27" s="458"/>
      <c r="E27" s="458"/>
      <c r="F27" s="458"/>
      <c r="G27" s="458"/>
      <c r="H27" s="458"/>
      <c r="I27" s="458"/>
      <c r="J27" s="458"/>
      <c r="K27" s="458"/>
      <c r="L27" s="458"/>
      <c r="M27" s="420" t="str">
        <f>HYPERLINK("#数值转换成格式!A200","跳转")</f>
        <v>跳转</v>
      </c>
    </row>
    <row r="28" spans="1:13" ht="21" customHeight="1">
      <c r="A28" s="421" t="s">
        <v>658</v>
      </c>
      <c r="B28" s="453" t="s">
        <v>5976</v>
      </c>
      <c r="C28" s="453"/>
      <c r="D28" s="453"/>
      <c r="E28" s="453"/>
      <c r="F28" s="453"/>
      <c r="G28" s="453"/>
      <c r="H28" s="453"/>
      <c r="I28" s="453"/>
      <c r="J28" s="453"/>
      <c r="K28" s="453"/>
      <c r="L28" s="453"/>
      <c r="M28" s="422" t="str">
        <f>HYPERLINK("#使用贝塞尔函数!A200","跳转")</f>
        <v>跳转</v>
      </c>
    </row>
    <row r="29" spans="1:13" ht="21" customHeight="1">
      <c r="A29" s="418" t="s">
        <v>745</v>
      </c>
      <c r="B29" s="458" t="s">
        <v>746</v>
      </c>
      <c r="C29" s="458"/>
      <c r="D29" s="458"/>
      <c r="E29" s="458"/>
      <c r="F29" s="458"/>
      <c r="G29" s="458"/>
      <c r="H29" s="458"/>
      <c r="I29" s="458"/>
      <c r="J29" s="458"/>
      <c r="K29" s="458"/>
      <c r="L29" s="458"/>
      <c r="M29" s="420" t="str">
        <f>HYPERLINK("#使用贝塞尔函数!A1","跳转")</f>
        <v>跳转</v>
      </c>
    </row>
    <row r="30" spans="1:13" ht="21" customHeight="1">
      <c r="A30" s="421" t="s">
        <v>747</v>
      </c>
      <c r="B30" s="453" t="s">
        <v>5977</v>
      </c>
      <c r="C30" s="453"/>
      <c r="D30" s="453"/>
      <c r="E30" s="453"/>
      <c r="F30" s="453"/>
      <c r="G30" s="453"/>
      <c r="H30" s="453"/>
      <c r="I30" s="453"/>
      <c r="J30" s="453"/>
      <c r="K30" s="453"/>
      <c r="L30" s="453"/>
      <c r="M30" s="422" t="str">
        <f>HYPERLINK("#使用贝塞尔函数!A300","跳转")</f>
        <v>跳转</v>
      </c>
    </row>
    <row r="31" spans="1:13" ht="21" customHeight="1">
      <c r="A31" s="418" t="s">
        <v>748</v>
      </c>
      <c r="B31" s="458" t="s">
        <v>749</v>
      </c>
      <c r="C31" s="458"/>
      <c r="D31" s="458"/>
      <c r="E31" s="458"/>
      <c r="F31" s="458"/>
      <c r="G31" s="458"/>
      <c r="H31" s="458"/>
      <c r="I31" s="458"/>
      <c r="J31" s="458"/>
      <c r="K31" s="458"/>
      <c r="L31" s="458"/>
      <c r="M31" s="420" t="str">
        <f>HYPERLINK("#使用贝塞尔函数!A100","跳转")</f>
        <v>跳转</v>
      </c>
    </row>
    <row r="32" spans="1:13" ht="21" customHeight="1">
      <c r="A32" s="421" t="s">
        <v>750</v>
      </c>
      <c r="B32" s="453" t="s">
        <v>751</v>
      </c>
      <c r="C32" s="453"/>
      <c r="D32" s="453"/>
      <c r="E32" s="453"/>
      <c r="F32" s="453"/>
      <c r="G32" s="453"/>
      <c r="H32" s="453"/>
      <c r="I32" s="453"/>
      <c r="J32" s="453"/>
      <c r="K32" s="453"/>
      <c r="L32" s="453"/>
      <c r="M32" s="422" t="str">
        <f>HYPERLINK("#计算Beta分布!A1","跳转")</f>
        <v>跳转</v>
      </c>
    </row>
    <row r="33" spans="1:13" ht="21" customHeight="1">
      <c r="A33" s="418" t="s">
        <v>752</v>
      </c>
      <c r="B33" s="458" t="s">
        <v>753</v>
      </c>
      <c r="C33" s="458"/>
      <c r="D33" s="458"/>
      <c r="E33" s="458"/>
      <c r="F33" s="458"/>
      <c r="G33" s="458"/>
      <c r="H33" s="458"/>
      <c r="I33" s="458"/>
      <c r="J33" s="458"/>
      <c r="K33" s="458"/>
      <c r="L33" s="458"/>
      <c r="M33" s="420" t="str">
        <f>HYPERLINK("#计算Beta分布!A100","跳转")</f>
        <v>跳转</v>
      </c>
    </row>
    <row r="34" spans="1:13" ht="21" customHeight="1">
      <c r="A34" s="421" t="s">
        <v>754</v>
      </c>
      <c r="B34" s="453" t="s">
        <v>755</v>
      </c>
      <c r="C34" s="453"/>
      <c r="D34" s="453"/>
      <c r="E34" s="453"/>
      <c r="F34" s="453"/>
      <c r="G34" s="453"/>
      <c r="H34" s="453"/>
      <c r="I34" s="453"/>
      <c r="J34" s="453"/>
      <c r="K34" s="453"/>
      <c r="L34" s="453"/>
      <c r="M34" s="422" t="str">
        <f>HYPERLINK("#交换数值的进制标记!A100","跳转")</f>
        <v>跳转</v>
      </c>
    </row>
    <row r="35" spans="1:13" ht="21" customHeight="1">
      <c r="A35" s="418" t="s">
        <v>756</v>
      </c>
      <c r="B35" s="458" t="s">
        <v>757</v>
      </c>
      <c r="C35" s="458"/>
      <c r="D35" s="458"/>
      <c r="E35" s="458"/>
      <c r="F35" s="458"/>
      <c r="G35" s="458"/>
      <c r="H35" s="458"/>
      <c r="I35" s="458"/>
      <c r="J35" s="458"/>
      <c r="K35" s="458"/>
      <c r="L35" s="458"/>
      <c r="M35" s="420" t="str">
        <f>HYPERLINK("#交换数值的进制标记!A200","跳转")</f>
        <v>跳转</v>
      </c>
    </row>
    <row r="36" spans="1:13" ht="21" customHeight="1">
      <c r="A36" s="421" t="s">
        <v>620</v>
      </c>
      <c r="B36" s="453" t="s">
        <v>758</v>
      </c>
      <c r="C36" s="453"/>
      <c r="D36" s="453"/>
      <c r="E36" s="453"/>
      <c r="F36" s="453"/>
      <c r="G36" s="453"/>
      <c r="H36" s="453"/>
      <c r="I36" s="453"/>
      <c r="J36" s="453"/>
      <c r="K36" s="453"/>
      <c r="L36" s="453"/>
      <c r="M36" s="422" t="str">
        <f>HYPERLINK("#交换数值的进制标记!A1","跳转")</f>
        <v>跳转</v>
      </c>
    </row>
    <row r="37" spans="1:13" ht="21" customHeight="1">
      <c r="A37" s="425" t="s">
        <v>759</v>
      </c>
      <c r="B37" s="454" t="s">
        <v>760</v>
      </c>
      <c r="C37" s="454"/>
      <c r="D37" s="454"/>
      <c r="E37" s="454"/>
      <c r="F37" s="454"/>
      <c r="G37" s="454"/>
      <c r="H37" s="454"/>
      <c r="I37" s="454"/>
      <c r="J37" s="454"/>
      <c r="K37" s="454"/>
      <c r="L37" s="454"/>
      <c r="M37" s="423" t="str">
        <f>HYPERLINK("#各种分布的概率!A1","跳转")</f>
        <v>跳转</v>
      </c>
    </row>
    <row r="38" spans="1:13" ht="21" customHeight="1">
      <c r="A38" s="426"/>
      <c r="B38" s="466"/>
      <c r="C38" s="467"/>
      <c r="D38" s="467"/>
      <c r="E38" s="467"/>
      <c r="F38" s="467"/>
      <c r="G38" s="467"/>
      <c r="H38" s="467"/>
      <c r="I38" s="467"/>
      <c r="J38" s="467"/>
      <c r="K38" s="467"/>
      <c r="L38" s="467"/>
      <c r="M38" s="467"/>
    </row>
    <row r="39" spans="1:13" ht="21" customHeight="1">
      <c r="A39" s="416" t="s">
        <v>761</v>
      </c>
      <c r="B39" s="427" t="str">
        <f>HYPERLINK("#A3","跳转首行")</f>
        <v>跳转首行</v>
      </c>
      <c r="C39" s="469" t="s">
        <v>720</v>
      </c>
      <c r="D39" s="469"/>
      <c r="E39" s="469"/>
      <c r="F39" s="469"/>
      <c r="G39" s="469"/>
      <c r="H39" s="469"/>
      <c r="I39" s="469"/>
      <c r="J39" s="469"/>
      <c r="K39" s="469"/>
      <c r="L39" s="469"/>
      <c r="M39" s="469"/>
    </row>
    <row r="40" spans="1:13" ht="21" customHeight="1">
      <c r="A40" s="418" t="s">
        <v>762</v>
      </c>
      <c r="B40" s="458" t="s">
        <v>763</v>
      </c>
      <c r="C40" s="458"/>
      <c r="D40" s="458"/>
      <c r="E40" s="458"/>
      <c r="F40" s="458"/>
      <c r="G40" s="458"/>
      <c r="H40" s="458"/>
      <c r="I40" s="458"/>
      <c r="J40" s="458"/>
      <c r="K40" s="458"/>
      <c r="L40" s="458"/>
      <c r="M40" s="428" t="s">
        <v>764</v>
      </c>
    </row>
    <row r="41" spans="1:13" ht="21" customHeight="1">
      <c r="A41" s="421" t="s">
        <v>128</v>
      </c>
      <c r="B41" s="453" t="s">
        <v>765</v>
      </c>
      <c r="C41" s="453"/>
      <c r="D41" s="453"/>
      <c r="E41" s="453"/>
      <c r="F41" s="453"/>
      <c r="G41" s="453"/>
      <c r="H41" s="453"/>
      <c r="I41" s="453"/>
      <c r="J41" s="453"/>
      <c r="K41" s="453"/>
      <c r="L41" s="453"/>
      <c r="M41" s="422" t="str">
        <f>HYPERLINK("#数值舍入取整!A600","跳转")</f>
        <v>跳转</v>
      </c>
    </row>
    <row r="42" spans="1:13" ht="21" customHeight="1">
      <c r="A42" s="418" t="s">
        <v>766</v>
      </c>
      <c r="B42" s="458" t="s">
        <v>767</v>
      </c>
      <c r="C42" s="458"/>
      <c r="D42" s="458"/>
      <c r="E42" s="458"/>
      <c r="F42" s="458"/>
      <c r="G42" s="458"/>
      <c r="H42" s="458"/>
      <c r="I42" s="458"/>
      <c r="J42" s="458"/>
      <c r="K42" s="458"/>
      <c r="L42" s="458"/>
      <c r="M42" s="420" t="str">
        <f>HYPERLINK("#查看单元格信息!A1","跳转")</f>
        <v>跳转</v>
      </c>
    </row>
    <row r="43" spans="1:13" ht="21" customHeight="1">
      <c r="A43" s="421" t="s">
        <v>360</v>
      </c>
      <c r="B43" s="453" t="s">
        <v>768</v>
      </c>
      <c r="C43" s="453"/>
      <c r="D43" s="453"/>
      <c r="E43" s="453"/>
      <c r="F43" s="453"/>
      <c r="G43" s="453"/>
      <c r="H43" s="453"/>
      <c r="I43" s="453"/>
      <c r="J43" s="453"/>
      <c r="K43" s="453"/>
      <c r="L43" s="453"/>
      <c r="M43" s="422" t="str">
        <f>HYPERLINK("#操作文字代码!A100","跳转")</f>
        <v>跳转</v>
      </c>
    </row>
    <row r="44" spans="1:13" ht="21" customHeight="1">
      <c r="A44" s="418" t="s">
        <v>769</v>
      </c>
      <c r="B44" s="458" t="s">
        <v>5978</v>
      </c>
      <c r="C44" s="458"/>
      <c r="D44" s="458"/>
      <c r="E44" s="458"/>
      <c r="F44" s="458"/>
      <c r="G44" s="458"/>
      <c r="H44" s="458"/>
      <c r="I44" s="458"/>
      <c r="J44" s="458"/>
      <c r="K44" s="458"/>
      <c r="L44" s="458"/>
      <c r="M44" s="420" t="str">
        <f>HYPERLINK("#卡方分布与检验!A1","跳转")</f>
        <v>跳转</v>
      </c>
    </row>
    <row r="45" spans="1:13" ht="21" customHeight="1">
      <c r="A45" s="421" t="s">
        <v>770</v>
      </c>
      <c r="B45" s="453" t="s">
        <v>5979</v>
      </c>
      <c r="C45" s="453"/>
      <c r="D45" s="453"/>
      <c r="E45" s="453"/>
      <c r="F45" s="453"/>
      <c r="G45" s="453"/>
      <c r="H45" s="453"/>
      <c r="I45" s="453"/>
      <c r="J45" s="453"/>
      <c r="K45" s="453"/>
      <c r="L45" s="453"/>
      <c r="M45" s="422" t="str">
        <f>HYPERLINK("#卡方分布与检验!A100","跳转")</f>
        <v>跳转</v>
      </c>
    </row>
    <row r="46" spans="1:13" ht="21" customHeight="1">
      <c r="A46" s="418" t="s">
        <v>771</v>
      </c>
      <c r="B46" s="458" t="s">
        <v>772</v>
      </c>
      <c r="C46" s="458"/>
      <c r="D46" s="458"/>
      <c r="E46" s="458"/>
      <c r="F46" s="458"/>
      <c r="G46" s="458"/>
      <c r="H46" s="458"/>
      <c r="I46" s="458"/>
      <c r="J46" s="458"/>
      <c r="K46" s="458"/>
      <c r="L46" s="458"/>
      <c r="M46" s="420" t="str">
        <f>HYPERLINK("#卡方分布与检验!A200","跳转")</f>
        <v>跳转</v>
      </c>
    </row>
    <row r="47" spans="1:13" ht="21" customHeight="1">
      <c r="A47" s="421" t="s">
        <v>279</v>
      </c>
      <c r="B47" s="453" t="s">
        <v>773</v>
      </c>
      <c r="C47" s="453"/>
      <c r="D47" s="453"/>
      <c r="E47" s="453"/>
      <c r="F47" s="453"/>
      <c r="G47" s="453"/>
      <c r="H47" s="453"/>
      <c r="I47" s="453"/>
      <c r="J47" s="453"/>
      <c r="K47" s="453"/>
      <c r="L47" s="453"/>
      <c r="M47" s="422" t="str">
        <f>HYPERLINK("#INDIRECT与CHOOSE!A100","跳转")</f>
        <v>跳转</v>
      </c>
    </row>
    <row r="48" spans="1:13" ht="21" customHeight="1">
      <c r="A48" s="418" t="s">
        <v>355</v>
      </c>
      <c r="B48" s="458" t="s">
        <v>774</v>
      </c>
      <c r="C48" s="458"/>
      <c r="D48" s="458"/>
      <c r="E48" s="458"/>
      <c r="F48" s="458"/>
      <c r="G48" s="458"/>
      <c r="H48" s="458"/>
      <c r="I48" s="458"/>
      <c r="J48" s="458"/>
      <c r="K48" s="458"/>
      <c r="L48" s="458"/>
      <c r="M48" s="420" t="str">
        <f>HYPERLINK("#删除多余的字符!A100","跳转")</f>
        <v>跳转</v>
      </c>
    </row>
    <row r="49" spans="1:13" ht="21" customHeight="1">
      <c r="A49" s="421" t="s">
        <v>358</v>
      </c>
      <c r="B49" s="453" t="s">
        <v>775</v>
      </c>
      <c r="C49" s="453"/>
      <c r="D49" s="453"/>
      <c r="E49" s="453"/>
      <c r="F49" s="453"/>
      <c r="G49" s="453"/>
      <c r="H49" s="453"/>
      <c r="I49" s="453"/>
      <c r="J49" s="453"/>
      <c r="K49" s="453"/>
      <c r="L49" s="453"/>
      <c r="M49" s="422" t="str">
        <f>HYPERLINK("#操作文字代码!A1","跳转")</f>
        <v>跳转</v>
      </c>
    </row>
    <row r="50" spans="1:13" ht="21" customHeight="1">
      <c r="A50" s="418" t="s">
        <v>284</v>
      </c>
      <c r="B50" s="458" t="s">
        <v>776</v>
      </c>
      <c r="C50" s="458"/>
      <c r="D50" s="458"/>
      <c r="E50" s="458"/>
      <c r="F50" s="458"/>
      <c r="G50" s="458"/>
      <c r="H50" s="458"/>
      <c r="I50" s="458"/>
      <c r="J50" s="458"/>
      <c r="K50" s="458"/>
      <c r="L50" s="458"/>
      <c r="M50" s="420" t="str">
        <f>HYPERLINK("#单元格引用或单元格位置!A1","跳转")</f>
        <v>跳转</v>
      </c>
    </row>
    <row r="51" spans="1:13" ht="21" customHeight="1">
      <c r="A51" s="421" t="s">
        <v>289</v>
      </c>
      <c r="B51" s="453" t="s">
        <v>777</v>
      </c>
      <c r="C51" s="453"/>
      <c r="D51" s="453"/>
      <c r="E51" s="453"/>
      <c r="F51" s="453"/>
      <c r="G51" s="453"/>
      <c r="H51" s="453"/>
      <c r="I51" s="453"/>
      <c r="J51" s="453"/>
      <c r="K51" s="453"/>
      <c r="L51" s="453"/>
      <c r="M51" s="422" t="str">
        <f>HYPERLINK("#计算区域内的要素!A1","跳转")</f>
        <v>跳转</v>
      </c>
    </row>
    <row r="52" spans="1:13" ht="21" customHeight="1">
      <c r="A52" s="418" t="s">
        <v>159</v>
      </c>
      <c r="B52" s="458" t="s">
        <v>160</v>
      </c>
      <c r="C52" s="458"/>
      <c r="D52" s="458"/>
      <c r="E52" s="458"/>
      <c r="F52" s="458"/>
      <c r="G52" s="458"/>
      <c r="H52" s="458"/>
      <c r="I52" s="458"/>
      <c r="J52" s="458"/>
      <c r="K52" s="458"/>
      <c r="L52" s="458"/>
      <c r="M52" s="420" t="str">
        <f>HYPERLINK("#组合的计算!A300","跳转")</f>
        <v>跳转</v>
      </c>
    </row>
    <row r="53" spans="1:13" ht="21" customHeight="1">
      <c r="A53" s="421" t="s">
        <v>778</v>
      </c>
      <c r="B53" s="453" t="s">
        <v>779</v>
      </c>
      <c r="C53" s="453"/>
      <c r="D53" s="453"/>
      <c r="E53" s="453"/>
      <c r="F53" s="453"/>
      <c r="G53" s="453"/>
      <c r="H53" s="453"/>
      <c r="I53" s="453"/>
      <c r="J53" s="453"/>
      <c r="K53" s="453"/>
      <c r="L53" s="453"/>
      <c r="M53" s="422" t="str">
        <f>HYPERLINK("#构成和分解复数!A1","跳转")</f>
        <v>跳转</v>
      </c>
    </row>
    <row r="54" spans="1:13" ht="21" customHeight="1">
      <c r="A54" s="429" t="s">
        <v>323</v>
      </c>
      <c r="B54" s="458" t="s">
        <v>780</v>
      </c>
      <c r="C54" s="458"/>
      <c r="D54" s="458"/>
      <c r="E54" s="458"/>
      <c r="F54" s="458"/>
      <c r="G54" s="458"/>
      <c r="H54" s="458"/>
      <c r="I54" s="458"/>
      <c r="J54" s="458"/>
      <c r="K54" s="458"/>
      <c r="L54" s="458"/>
      <c r="M54" s="420" t="str">
        <f>HYPERLINK("#文本转换计算合并!A300","跳转")</f>
        <v>跳转</v>
      </c>
    </row>
    <row r="55" spans="1:13" ht="21" customHeight="1">
      <c r="A55" s="421" t="s">
        <v>781</v>
      </c>
      <c r="B55" s="453" t="s">
        <v>782</v>
      </c>
      <c r="C55" s="453"/>
      <c r="D55" s="453"/>
      <c r="E55" s="453"/>
      <c r="F55" s="453"/>
      <c r="G55" s="453"/>
      <c r="H55" s="453"/>
      <c r="I55" s="453"/>
      <c r="J55" s="453"/>
      <c r="K55" s="453"/>
      <c r="L55" s="453"/>
      <c r="M55" s="422" t="str">
        <f>HYPERLINK("#CONFIDENCE与PROB!A1","跳转")</f>
        <v>跳转</v>
      </c>
    </row>
    <row r="56" spans="1:13" ht="21" customHeight="1">
      <c r="A56" s="418" t="s">
        <v>783</v>
      </c>
      <c r="B56" s="458" t="s">
        <v>784</v>
      </c>
      <c r="C56" s="458"/>
      <c r="D56" s="458"/>
      <c r="E56" s="458"/>
      <c r="F56" s="458"/>
      <c r="G56" s="458"/>
      <c r="H56" s="458"/>
      <c r="I56" s="458"/>
      <c r="J56" s="458"/>
      <c r="K56" s="458"/>
      <c r="L56" s="458"/>
      <c r="M56" s="420" t="str">
        <f>HYPERLINK("#单位的转换!A1","跳转")</f>
        <v>跳转</v>
      </c>
    </row>
    <row r="57" spans="1:13" ht="21" customHeight="1">
      <c r="A57" s="421" t="s">
        <v>785</v>
      </c>
      <c r="B57" s="453" t="s">
        <v>786</v>
      </c>
      <c r="C57" s="453"/>
      <c r="D57" s="453"/>
      <c r="E57" s="453"/>
      <c r="F57" s="453"/>
      <c r="G57" s="453"/>
      <c r="H57" s="453"/>
      <c r="I57" s="453"/>
      <c r="J57" s="453"/>
      <c r="K57" s="453"/>
      <c r="L57" s="453"/>
      <c r="M57" s="422" t="str">
        <f>HYPERLINK("#计算相关系数!A1","跳转")</f>
        <v>跳转</v>
      </c>
    </row>
    <row r="58" spans="1:13" ht="21" customHeight="1">
      <c r="A58" s="418" t="s">
        <v>199</v>
      </c>
      <c r="B58" s="458" t="s">
        <v>787</v>
      </c>
      <c r="C58" s="458"/>
      <c r="D58" s="458"/>
      <c r="E58" s="458"/>
      <c r="F58" s="458"/>
      <c r="G58" s="458"/>
      <c r="H58" s="458"/>
      <c r="I58" s="458"/>
      <c r="J58" s="458"/>
      <c r="K58" s="458"/>
      <c r="L58" s="458"/>
      <c r="M58" s="420" t="str">
        <f>HYPERLINK("#三角与反三角函数!A100","跳转")</f>
        <v>跳转</v>
      </c>
    </row>
    <row r="59" spans="1:13" ht="21" customHeight="1">
      <c r="A59" s="421" t="s">
        <v>217</v>
      </c>
      <c r="B59" s="453" t="s">
        <v>788</v>
      </c>
      <c r="C59" s="453"/>
      <c r="D59" s="453"/>
      <c r="E59" s="453"/>
      <c r="F59" s="453"/>
      <c r="G59" s="453"/>
      <c r="H59" s="453"/>
      <c r="I59" s="453"/>
      <c r="J59" s="453"/>
      <c r="K59" s="453"/>
      <c r="L59" s="453"/>
      <c r="M59" s="422" t="str">
        <f>HYPERLINK("#双曲与反双曲函数!A100","跳转")</f>
        <v>跳转</v>
      </c>
    </row>
    <row r="60" spans="1:13" ht="21" customHeight="1">
      <c r="A60" s="418" t="s">
        <v>391</v>
      </c>
      <c r="B60" s="458" t="s">
        <v>789</v>
      </c>
      <c r="C60" s="458"/>
      <c r="D60" s="458"/>
      <c r="E60" s="458"/>
      <c r="F60" s="458"/>
      <c r="G60" s="458"/>
      <c r="H60" s="458"/>
      <c r="I60" s="458"/>
      <c r="J60" s="458"/>
      <c r="K60" s="458"/>
      <c r="L60" s="458"/>
      <c r="M60" s="420" t="str">
        <f>HYPERLINK("#计算数据的个数!A1","跳转")</f>
        <v>跳转</v>
      </c>
    </row>
    <row r="61" spans="1:13" ht="21" customHeight="1">
      <c r="A61" s="421" t="s">
        <v>393</v>
      </c>
      <c r="B61" s="453" t="s">
        <v>790</v>
      </c>
      <c r="C61" s="453"/>
      <c r="D61" s="453"/>
      <c r="E61" s="453"/>
      <c r="F61" s="453"/>
      <c r="G61" s="453"/>
      <c r="H61" s="453"/>
      <c r="I61" s="453"/>
      <c r="J61" s="453"/>
      <c r="K61" s="453"/>
      <c r="L61" s="453"/>
      <c r="M61" s="422" t="str">
        <f>HYPERLINK("#计算数据的个数!A100","跳转")</f>
        <v>跳转</v>
      </c>
    </row>
    <row r="62" spans="1:13" ht="21" customHeight="1">
      <c r="A62" s="418" t="s">
        <v>394</v>
      </c>
      <c r="B62" s="458" t="s">
        <v>791</v>
      </c>
      <c r="C62" s="458"/>
      <c r="D62" s="458"/>
      <c r="E62" s="458"/>
      <c r="F62" s="458"/>
      <c r="G62" s="458"/>
      <c r="H62" s="458"/>
      <c r="I62" s="458"/>
      <c r="J62" s="458"/>
      <c r="K62" s="458"/>
      <c r="L62" s="458"/>
      <c r="M62" s="420" t="str">
        <f>HYPERLINK("#计算数据的个数!A200","跳转")</f>
        <v>跳转</v>
      </c>
    </row>
    <row r="63" spans="1:13" ht="21" customHeight="1">
      <c r="A63" s="421" t="s">
        <v>96</v>
      </c>
      <c r="B63" s="453" t="s">
        <v>792</v>
      </c>
      <c r="C63" s="453"/>
      <c r="D63" s="453"/>
      <c r="E63" s="453"/>
      <c r="F63" s="453"/>
      <c r="G63" s="453"/>
      <c r="H63" s="453"/>
      <c r="I63" s="453"/>
      <c r="J63" s="453"/>
      <c r="K63" s="453"/>
      <c r="L63" s="453"/>
      <c r="M63" s="422" t="str">
        <f>HYPERLINK("#"&amp;A63&amp;"!A1","跳转")</f>
        <v>跳转</v>
      </c>
    </row>
    <row r="64" spans="1:13" ht="21" customHeight="1">
      <c r="A64" s="418" t="s">
        <v>793</v>
      </c>
      <c r="B64" s="458" t="s">
        <v>794</v>
      </c>
      <c r="C64" s="458"/>
      <c r="D64" s="458"/>
      <c r="E64" s="458"/>
      <c r="F64" s="458"/>
      <c r="G64" s="458"/>
      <c r="H64" s="458"/>
      <c r="I64" s="458"/>
      <c r="J64" s="458"/>
      <c r="K64" s="458"/>
      <c r="L64" s="458"/>
      <c r="M64" s="420" t="str">
        <f>HYPERLINK("#定期付息证券的日期信息!A200","跳转")</f>
        <v>跳转</v>
      </c>
    </row>
    <row r="65" spans="1:13" ht="21" customHeight="1">
      <c r="A65" s="421" t="s">
        <v>795</v>
      </c>
      <c r="B65" s="453" t="s">
        <v>796</v>
      </c>
      <c r="C65" s="453"/>
      <c r="D65" s="453"/>
      <c r="E65" s="453"/>
      <c r="F65" s="453"/>
      <c r="G65" s="453"/>
      <c r="H65" s="453"/>
      <c r="I65" s="453"/>
      <c r="J65" s="453"/>
      <c r="K65" s="453"/>
      <c r="L65" s="453"/>
      <c r="M65" s="422" t="str">
        <f>HYPERLINK("#定期付息证券的日期信息!A400","跳转")</f>
        <v>跳转</v>
      </c>
    </row>
    <row r="66" spans="1:13" ht="21" customHeight="1">
      <c r="A66" s="418" t="s">
        <v>580</v>
      </c>
      <c r="B66" s="458" t="s">
        <v>797</v>
      </c>
      <c r="C66" s="458"/>
      <c r="D66" s="458"/>
      <c r="E66" s="458"/>
      <c r="F66" s="458"/>
      <c r="G66" s="458"/>
      <c r="H66" s="458"/>
      <c r="I66" s="458"/>
      <c r="J66" s="458"/>
      <c r="K66" s="458"/>
      <c r="L66" s="458"/>
      <c r="M66" s="420" t="str">
        <f>HYPERLINK("#定期付息证券的日期信息!A300","跳转")</f>
        <v>跳转</v>
      </c>
    </row>
    <row r="67" spans="1:13" ht="21" customHeight="1">
      <c r="A67" s="421" t="s">
        <v>578</v>
      </c>
      <c r="B67" s="453" t="s">
        <v>798</v>
      </c>
      <c r="C67" s="453"/>
      <c r="D67" s="453"/>
      <c r="E67" s="453"/>
      <c r="F67" s="453"/>
      <c r="G67" s="453"/>
      <c r="H67" s="453"/>
      <c r="I67" s="453"/>
      <c r="J67" s="453"/>
      <c r="K67" s="453"/>
      <c r="L67" s="453"/>
      <c r="M67" s="422" t="str">
        <f>HYPERLINK("#定期付息证券的日期信息!A100","跳转")</f>
        <v>跳转</v>
      </c>
    </row>
    <row r="68" spans="1:13" ht="21" customHeight="1">
      <c r="A68" s="418" t="s">
        <v>799</v>
      </c>
      <c r="B68" s="458" t="s">
        <v>800</v>
      </c>
      <c r="C68" s="458"/>
      <c r="D68" s="458"/>
      <c r="E68" s="458"/>
      <c r="F68" s="458"/>
      <c r="G68" s="458"/>
      <c r="H68" s="458"/>
      <c r="I68" s="458"/>
      <c r="J68" s="458"/>
      <c r="K68" s="458"/>
      <c r="L68" s="458"/>
      <c r="M68" s="420" t="str">
        <f>HYPERLINK("#定期付息证券的日期信息!A500","跳转")</f>
        <v>跳转</v>
      </c>
    </row>
    <row r="69" spans="1:13" ht="21" customHeight="1">
      <c r="A69" s="421" t="s">
        <v>801</v>
      </c>
      <c r="B69" s="453" t="s">
        <v>802</v>
      </c>
      <c r="C69" s="453"/>
      <c r="D69" s="453"/>
      <c r="E69" s="453"/>
      <c r="F69" s="453"/>
      <c r="G69" s="453"/>
      <c r="H69" s="453"/>
      <c r="I69" s="453"/>
      <c r="J69" s="453"/>
      <c r="K69" s="453"/>
      <c r="L69" s="453"/>
      <c r="M69" s="422" t="str">
        <f>HYPERLINK("#定期付息证券的日期信息!A1","跳转")</f>
        <v>跳转</v>
      </c>
    </row>
    <row r="70" spans="1:13" ht="21" customHeight="1">
      <c r="A70" s="418" t="s">
        <v>803</v>
      </c>
      <c r="B70" s="458" t="s">
        <v>804</v>
      </c>
      <c r="C70" s="458"/>
      <c r="D70" s="458"/>
      <c r="E70" s="458"/>
      <c r="F70" s="458"/>
      <c r="G70" s="458"/>
      <c r="H70" s="458"/>
      <c r="I70" s="458"/>
      <c r="J70" s="458"/>
      <c r="K70" s="458"/>
      <c r="L70" s="458"/>
      <c r="M70" s="420" t="str">
        <f>HYPERLINK("#计算相关系数!A200","跳转")</f>
        <v>跳转</v>
      </c>
    </row>
    <row r="71" spans="1:13" ht="21" customHeight="1">
      <c r="A71" s="421" t="s">
        <v>805</v>
      </c>
      <c r="B71" s="453" t="s">
        <v>806</v>
      </c>
      <c r="C71" s="453"/>
      <c r="D71" s="453"/>
      <c r="E71" s="453"/>
      <c r="F71" s="453"/>
      <c r="G71" s="453"/>
      <c r="H71" s="453"/>
      <c r="I71" s="453"/>
      <c r="J71" s="453"/>
      <c r="K71" s="453"/>
      <c r="L71" s="453"/>
      <c r="M71" s="422" t="str">
        <f>HYPERLINK("#各种分布的概率!A100","跳转")</f>
        <v>跳转</v>
      </c>
    </row>
    <row r="72" spans="1:13" ht="21" customHeight="1">
      <c r="A72" s="418" t="s">
        <v>807</v>
      </c>
      <c r="B72" s="458" t="s">
        <v>808</v>
      </c>
      <c r="C72" s="458"/>
      <c r="D72" s="458"/>
      <c r="E72" s="458"/>
      <c r="F72" s="458"/>
      <c r="G72" s="458"/>
      <c r="H72" s="458"/>
      <c r="I72" s="458"/>
      <c r="J72" s="458"/>
      <c r="K72" s="458"/>
      <c r="L72" s="458"/>
      <c r="M72" s="420" t="str">
        <f>HYPERLINK("#贷款部分!A400","跳转")</f>
        <v>跳转</v>
      </c>
    </row>
    <row r="73" spans="1:13" ht="21" customHeight="1">
      <c r="A73" s="421" t="s">
        <v>809</v>
      </c>
      <c r="B73" s="459" t="s">
        <v>810</v>
      </c>
      <c r="C73" s="459"/>
      <c r="D73" s="459"/>
      <c r="E73" s="459"/>
      <c r="F73" s="459"/>
      <c r="G73" s="459"/>
      <c r="H73" s="459"/>
      <c r="I73" s="459"/>
      <c r="J73" s="459"/>
      <c r="K73" s="459"/>
      <c r="L73" s="459"/>
      <c r="M73" s="430" t="str">
        <f>HYPERLINK("#贷款部分!A200","跳转")</f>
        <v>跳转</v>
      </c>
    </row>
    <row r="74" spans="1:13" ht="21" customHeight="1">
      <c r="A74" s="431"/>
      <c r="B74" s="455"/>
      <c r="C74" s="456"/>
      <c r="D74" s="456"/>
      <c r="E74" s="456"/>
      <c r="F74" s="456"/>
      <c r="G74" s="456"/>
      <c r="H74" s="456"/>
      <c r="I74" s="456"/>
      <c r="J74" s="456"/>
      <c r="K74" s="456"/>
      <c r="L74" s="456"/>
      <c r="M74" s="456"/>
    </row>
    <row r="75" spans="1:13" ht="21" customHeight="1">
      <c r="A75" s="416" t="s">
        <v>811</v>
      </c>
      <c r="B75" s="417" t="str">
        <f>HYPERLINK("#A3","跳转首行")</f>
        <v>跳转首行</v>
      </c>
      <c r="C75" s="457" t="s">
        <v>720</v>
      </c>
      <c r="D75" s="457"/>
      <c r="E75" s="457"/>
      <c r="F75" s="457"/>
      <c r="G75" s="457"/>
      <c r="H75" s="457"/>
      <c r="I75" s="457"/>
      <c r="J75" s="457"/>
      <c r="K75" s="457"/>
      <c r="L75" s="457"/>
      <c r="M75" s="457"/>
    </row>
    <row r="76" spans="1:13" ht="21" customHeight="1">
      <c r="A76" s="418" t="s">
        <v>57</v>
      </c>
      <c r="B76" s="458" t="s">
        <v>812</v>
      </c>
      <c r="C76" s="458"/>
      <c r="D76" s="458"/>
      <c r="E76" s="458"/>
      <c r="F76" s="458"/>
      <c r="G76" s="458"/>
      <c r="H76" s="458"/>
      <c r="I76" s="458"/>
      <c r="J76" s="458"/>
      <c r="K76" s="458"/>
      <c r="L76" s="458"/>
      <c r="M76" s="420" t="str">
        <f>HYPERLINK("#计算日期时间的数值!A1","跳转")</f>
        <v>跳转</v>
      </c>
    </row>
    <row r="77" spans="1:13" ht="21" customHeight="1">
      <c r="A77" s="421" t="s">
        <v>43</v>
      </c>
      <c r="B77" s="453" t="s">
        <v>813</v>
      </c>
      <c r="C77" s="453"/>
      <c r="D77" s="453"/>
      <c r="E77" s="453"/>
      <c r="F77" s="453"/>
      <c r="G77" s="453"/>
      <c r="H77" s="453"/>
      <c r="I77" s="453"/>
      <c r="J77" s="453"/>
      <c r="K77" s="453"/>
      <c r="L77" s="453"/>
      <c r="M77" s="422" t="str">
        <f>HYPERLINK("#计算日期、天数、星期!A400","跳转")</f>
        <v>跳转</v>
      </c>
    </row>
    <row r="78" spans="1:13" ht="21" customHeight="1">
      <c r="A78" s="418" t="s">
        <v>59</v>
      </c>
      <c r="B78" s="458" t="s">
        <v>814</v>
      </c>
      <c r="C78" s="458"/>
      <c r="D78" s="458"/>
      <c r="E78" s="458"/>
      <c r="F78" s="458"/>
      <c r="G78" s="458"/>
      <c r="H78" s="458"/>
      <c r="I78" s="458"/>
      <c r="J78" s="458"/>
      <c r="K78" s="458"/>
      <c r="L78" s="458"/>
      <c r="M78" s="432" t="str">
        <f>HYPERLINK("#计算日期时间的数值!A100","跳转")</f>
        <v>跳转</v>
      </c>
    </row>
    <row r="79" spans="1:13" ht="21" customHeight="1">
      <c r="A79" s="421" t="s">
        <v>815</v>
      </c>
      <c r="B79" s="453" t="s">
        <v>816</v>
      </c>
      <c r="C79" s="453"/>
      <c r="D79" s="453"/>
      <c r="E79" s="453"/>
      <c r="F79" s="453"/>
      <c r="G79" s="453"/>
      <c r="H79" s="453"/>
      <c r="I79" s="453"/>
      <c r="J79" s="453"/>
      <c r="K79" s="453"/>
      <c r="L79" s="453"/>
      <c r="M79" s="433" t="str">
        <f>HYPERLINK("#满足条件的列的各种计算!A100","跳转")</f>
        <v>跳转</v>
      </c>
    </row>
    <row r="80" spans="1:13" ht="21" customHeight="1">
      <c r="A80" s="418" t="s">
        <v>79</v>
      </c>
      <c r="B80" s="458" t="s">
        <v>817</v>
      </c>
      <c r="C80" s="458"/>
      <c r="D80" s="458"/>
      <c r="E80" s="458"/>
      <c r="F80" s="458"/>
      <c r="G80" s="458"/>
      <c r="H80" s="458"/>
      <c r="I80" s="458"/>
      <c r="J80" s="458"/>
      <c r="K80" s="458"/>
      <c r="L80" s="458"/>
      <c r="M80" s="432" t="str">
        <f>HYPERLINK("#提取年月日星期数函数!A200","跳转")</f>
        <v>跳转</v>
      </c>
    </row>
    <row r="81" spans="1:13" ht="21" customHeight="1">
      <c r="A81" s="421" t="s">
        <v>45</v>
      </c>
      <c r="B81" s="453" t="s">
        <v>818</v>
      </c>
      <c r="C81" s="453"/>
      <c r="D81" s="453"/>
      <c r="E81" s="453"/>
      <c r="F81" s="453"/>
      <c r="G81" s="453"/>
      <c r="H81" s="453"/>
      <c r="I81" s="453"/>
      <c r="J81" s="453"/>
      <c r="K81" s="453"/>
      <c r="L81" s="453"/>
      <c r="M81" s="433" t="str">
        <f>HYPERLINK("#计算日期、天数、星期!A500","跳转")</f>
        <v>跳转</v>
      </c>
    </row>
    <row r="82" spans="1:13" ht="21" customHeight="1">
      <c r="A82" s="418" t="s">
        <v>819</v>
      </c>
      <c r="B82" s="458" t="s">
        <v>820</v>
      </c>
      <c r="C82" s="458"/>
      <c r="D82" s="458"/>
      <c r="E82" s="458"/>
      <c r="F82" s="458"/>
      <c r="G82" s="458"/>
      <c r="H82" s="458"/>
      <c r="I82" s="458"/>
      <c r="J82" s="458"/>
      <c r="K82" s="458"/>
      <c r="L82" s="458"/>
      <c r="M82" s="420" t="str">
        <f>HYPERLINK("#计算折旧费!A100","跳转")</f>
        <v>跳转</v>
      </c>
    </row>
    <row r="83" spans="1:13" ht="21" customHeight="1">
      <c r="A83" s="421" t="s">
        <v>821</v>
      </c>
      <c r="B83" s="453" t="s">
        <v>822</v>
      </c>
      <c r="C83" s="453"/>
      <c r="D83" s="453"/>
      <c r="E83" s="453"/>
      <c r="F83" s="453"/>
      <c r="G83" s="453"/>
      <c r="H83" s="453"/>
      <c r="I83" s="453"/>
      <c r="J83" s="453"/>
      <c r="K83" s="453"/>
      <c r="L83" s="453"/>
      <c r="M83" s="433" t="str">
        <f>HYPERLINK("#满足条件的单元格的个数!A1","跳转")</f>
        <v>跳转</v>
      </c>
    </row>
    <row r="84" spans="1:13" ht="21" customHeight="1">
      <c r="A84" s="418" t="s">
        <v>823</v>
      </c>
      <c r="B84" s="458" t="s">
        <v>824</v>
      </c>
      <c r="C84" s="458"/>
      <c r="D84" s="458"/>
      <c r="E84" s="458"/>
      <c r="F84" s="458"/>
      <c r="G84" s="458"/>
      <c r="H84" s="458"/>
      <c r="I84" s="458"/>
      <c r="J84" s="458"/>
      <c r="K84" s="458"/>
      <c r="L84" s="458"/>
      <c r="M84" s="420" t="str">
        <f>HYPERLINK("#满足条件的单元格的个数!A100","跳转")</f>
        <v>跳转</v>
      </c>
    </row>
    <row r="85" spans="1:13" ht="21" customHeight="1">
      <c r="A85" s="421" t="s">
        <v>825</v>
      </c>
      <c r="B85" s="453" t="s">
        <v>613</v>
      </c>
      <c r="C85" s="453"/>
      <c r="D85" s="453"/>
      <c r="E85" s="453"/>
      <c r="F85" s="453"/>
      <c r="G85" s="453"/>
      <c r="H85" s="453"/>
      <c r="I85" s="453"/>
      <c r="J85" s="453"/>
      <c r="K85" s="453"/>
      <c r="L85" s="453"/>
      <c r="M85" s="422" t="str">
        <f>HYPERLINK("#计算折旧费!A200","跳转")</f>
        <v>跳转</v>
      </c>
    </row>
    <row r="86" spans="1:13" ht="21" customHeight="1">
      <c r="A86" s="418" t="s">
        <v>826</v>
      </c>
      <c r="B86" s="458" t="s">
        <v>827</v>
      </c>
      <c r="C86" s="458"/>
      <c r="D86" s="458"/>
      <c r="E86" s="458"/>
      <c r="F86" s="458"/>
      <c r="G86" s="458"/>
      <c r="H86" s="458"/>
      <c r="I86" s="458"/>
      <c r="J86" s="458"/>
      <c r="K86" s="458"/>
      <c r="L86" s="458"/>
      <c r="M86" s="420" t="str">
        <f>HYPERLINK("#交换数值的进制标记!A600","跳转")</f>
        <v>跳转</v>
      </c>
    </row>
    <row r="87" spans="1:13" ht="21" customHeight="1">
      <c r="A87" s="421" t="s">
        <v>828</v>
      </c>
      <c r="B87" s="453" t="s">
        <v>829</v>
      </c>
      <c r="C87" s="453"/>
      <c r="D87" s="453"/>
      <c r="E87" s="453"/>
      <c r="F87" s="453"/>
      <c r="G87" s="453"/>
      <c r="H87" s="453"/>
      <c r="I87" s="453"/>
      <c r="J87" s="453"/>
      <c r="K87" s="453"/>
      <c r="L87" s="453"/>
      <c r="M87" s="422" t="str">
        <f>HYPERLINK("#交换数值的进制标记!A500","跳转")</f>
        <v>跳转</v>
      </c>
    </row>
    <row r="88" spans="1:13" ht="21" customHeight="1">
      <c r="A88" s="418" t="s">
        <v>830</v>
      </c>
      <c r="B88" s="458" t="s">
        <v>831</v>
      </c>
      <c r="C88" s="458"/>
      <c r="D88" s="458"/>
      <c r="E88" s="458"/>
      <c r="F88" s="458"/>
      <c r="G88" s="458"/>
      <c r="H88" s="458"/>
      <c r="I88" s="458"/>
      <c r="J88" s="458"/>
      <c r="K88" s="458"/>
      <c r="L88" s="458"/>
      <c r="M88" s="420" t="str">
        <f>HYPERLINK("#交换数值的进制标记!A700","跳转")</f>
        <v>跳转</v>
      </c>
    </row>
    <row r="89" spans="1:13" ht="21" customHeight="1">
      <c r="A89" s="421" t="s">
        <v>193</v>
      </c>
      <c r="B89" s="453" t="s">
        <v>194</v>
      </c>
      <c r="C89" s="453"/>
      <c r="D89" s="453"/>
      <c r="E89" s="453"/>
      <c r="F89" s="453"/>
      <c r="G89" s="453"/>
      <c r="H89" s="453"/>
      <c r="I89" s="453"/>
      <c r="J89" s="453"/>
      <c r="K89" s="453"/>
      <c r="L89" s="453"/>
      <c r="M89" s="422" t="str">
        <f>HYPERLINK("#计算圆周率与角度和弧度的转换!A200","跳转")</f>
        <v>跳转</v>
      </c>
    </row>
    <row r="90" spans="1:13" ht="21" customHeight="1">
      <c r="A90" s="418" t="s">
        <v>832</v>
      </c>
      <c r="B90" s="458" t="s">
        <v>833</v>
      </c>
      <c r="C90" s="458"/>
      <c r="D90" s="458"/>
      <c r="E90" s="458"/>
      <c r="F90" s="458"/>
      <c r="G90" s="458"/>
      <c r="H90" s="458"/>
      <c r="I90" s="458"/>
      <c r="J90" s="458"/>
      <c r="K90" s="458"/>
      <c r="L90" s="458"/>
      <c r="M90" s="420" t="str">
        <f>HYPERLINK("#比较数值!A1","跳转")</f>
        <v>跳转</v>
      </c>
    </row>
    <row r="91" spans="1:13" ht="21" customHeight="1">
      <c r="A91" s="421" t="s">
        <v>456</v>
      </c>
      <c r="B91" s="453" t="s">
        <v>834</v>
      </c>
      <c r="C91" s="453"/>
      <c r="D91" s="453"/>
      <c r="E91" s="453"/>
      <c r="F91" s="453"/>
      <c r="G91" s="453"/>
      <c r="H91" s="453"/>
      <c r="I91" s="453"/>
      <c r="J91" s="453"/>
      <c r="K91" s="453"/>
      <c r="L91" s="453"/>
      <c r="M91" s="422" t="str">
        <f>HYPERLINK("#计算平均偏差和变动!A100","跳转")</f>
        <v>跳转</v>
      </c>
    </row>
    <row r="92" spans="1:13" ht="21" customHeight="1">
      <c r="A92" s="418" t="s">
        <v>835</v>
      </c>
      <c r="B92" s="458" t="s">
        <v>836</v>
      </c>
      <c r="C92" s="458"/>
      <c r="D92" s="458"/>
      <c r="E92" s="458"/>
      <c r="F92" s="458"/>
      <c r="G92" s="458"/>
      <c r="H92" s="458"/>
      <c r="I92" s="458"/>
      <c r="J92" s="458"/>
      <c r="K92" s="458"/>
      <c r="L92" s="458"/>
      <c r="M92" s="420" t="str">
        <f>HYPERLINK("#DGET!A1","跳转")</f>
        <v>跳转</v>
      </c>
    </row>
    <row r="93" spans="1:13" ht="21" customHeight="1">
      <c r="A93" s="421" t="s">
        <v>837</v>
      </c>
      <c r="B93" s="453" t="s">
        <v>838</v>
      </c>
      <c r="C93" s="453"/>
      <c r="D93" s="453"/>
      <c r="E93" s="453"/>
      <c r="F93" s="453"/>
      <c r="G93" s="453"/>
      <c r="H93" s="453"/>
      <c r="I93" s="453"/>
      <c r="J93" s="453"/>
      <c r="K93" s="453"/>
      <c r="L93" s="453"/>
      <c r="M93" s="422" t="str">
        <f>HYPERLINK("#折价证券!A400","跳转")</f>
        <v>跳转</v>
      </c>
    </row>
    <row r="94" spans="1:13" ht="21" customHeight="1">
      <c r="A94" s="418" t="s">
        <v>839</v>
      </c>
      <c r="B94" s="458" t="s">
        <v>840</v>
      </c>
      <c r="C94" s="458"/>
      <c r="D94" s="458"/>
      <c r="E94" s="458"/>
      <c r="F94" s="458"/>
      <c r="G94" s="458"/>
      <c r="H94" s="458"/>
      <c r="I94" s="458"/>
      <c r="J94" s="458"/>
      <c r="K94" s="458"/>
      <c r="L94" s="458"/>
      <c r="M94" s="420" t="str">
        <f>HYPERLINK("#满足条件的最大值或最小值!A1","跳转")</f>
        <v>跳转</v>
      </c>
    </row>
    <row r="95" spans="1:13" ht="21" customHeight="1">
      <c r="A95" s="421" t="s">
        <v>841</v>
      </c>
      <c r="B95" s="453" t="s">
        <v>842</v>
      </c>
      <c r="C95" s="453"/>
      <c r="D95" s="453"/>
      <c r="E95" s="453"/>
      <c r="F95" s="453"/>
      <c r="G95" s="453"/>
      <c r="H95" s="453"/>
      <c r="I95" s="453"/>
      <c r="J95" s="453"/>
      <c r="K95" s="453"/>
      <c r="L95" s="453"/>
      <c r="M95" s="422" t="str">
        <f>HYPERLINK("#满足条件的最大值或最小值!A100","跳转")</f>
        <v>跳转</v>
      </c>
    </row>
    <row r="96" spans="1:13" ht="21" customHeight="1">
      <c r="A96" s="418" t="s">
        <v>365</v>
      </c>
      <c r="B96" s="458" t="s">
        <v>843</v>
      </c>
      <c r="C96" s="458"/>
      <c r="D96" s="458"/>
      <c r="E96" s="458"/>
      <c r="F96" s="458"/>
      <c r="G96" s="458"/>
      <c r="H96" s="458"/>
      <c r="I96" s="458"/>
      <c r="J96" s="458"/>
      <c r="K96" s="458"/>
      <c r="L96" s="458"/>
      <c r="M96" s="420" t="str">
        <f>HYPERLINK("#数值转换成格式!A100","跳转")</f>
        <v>跳转</v>
      </c>
    </row>
    <row r="97" spans="1:13" ht="21" customHeight="1">
      <c r="A97" s="421" t="s">
        <v>844</v>
      </c>
      <c r="B97" s="453" t="s">
        <v>845</v>
      </c>
      <c r="C97" s="453"/>
      <c r="D97" s="453"/>
      <c r="E97" s="453"/>
      <c r="F97" s="453"/>
      <c r="G97" s="453"/>
      <c r="H97" s="453"/>
      <c r="I97" s="453"/>
      <c r="J97" s="453"/>
      <c r="K97" s="453"/>
      <c r="L97" s="453"/>
      <c r="M97" s="422" t="str">
        <f>HYPERLINK("#美元价格表示式!A1","跳转")</f>
        <v>跳转</v>
      </c>
    </row>
    <row r="98" spans="1:13" ht="21" customHeight="1">
      <c r="A98" s="418" t="s">
        <v>609</v>
      </c>
      <c r="B98" s="470" t="s">
        <v>846</v>
      </c>
      <c r="C98" s="470"/>
      <c r="D98" s="470"/>
      <c r="E98" s="470"/>
      <c r="F98" s="470"/>
      <c r="G98" s="470"/>
      <c r="H98" s="470"/>
      <c r="I98" s="470"/>
      <c r="J98" s="470"/>
      <c r="K98" s="470"/>
      <c r="L98" s="470"/>
      <c r="M98" s="420" t="str">
        <f>HYPERLINK("#美元价格表示式!A100","跳转")</f>
        <v>跳转</v>
      </c>
    </row>
    <row r="99" spans="1:13" ht="21" customHeight="1">
      <c r="A99" s="421" t="s">
        <v>847</v>
      </c>
      <c r="B99" s="453" t="s">
        <v>848</v>
      </c>
      <c r="C99" s="453"/>
      <c r="D99" s="453"/>
      <c r="E99" s="453"/>
      <c r="F99" s="453"/>
      <c r="G99" s="453"/>
      <c r="H99" s="453"/>
      <c r="I99" s="453"/>
      <c r="J99" s="453"/>
      <c r="K99" s="453"/>
      <c r="L99" s="453"/>
      <c r="M99" s="422" t="str">
        <f>HYPERLINK("#满足条件的列的各种计算!A200","跳转")</f>
        <v>跳转</v>
      </c>
    </row>
    <row r="100" spans="1:13" ht="21" customHeight="1">
      <c r="A100" s="418" t="s">
        <v>849</v>
      </c>
      <c r="B100" s="458" t="s">
        <v>850</v>
      </c>
      <c r="C100" s="458"/>
      <c r="D100" s="458"/>
      <c r="E100" s="458"/>
      <c r="F100" s="458"/>
      <c r="G100" s="458"/>
      <c r="H100" s="458"/>
      <c r="I100" s="458"/>
      <c r="J100" s="458"/>
      <c r="K100" s="458"/>
      <c r="L100" s="458"/>
      <c r="M100" s="420" t="str">
        <f>HYPERLINK("#数据库的标准偏差!A1","跳转")</f>
        <v>跳转</v>
      </c>
    </row>
    <row r="101" spans="1:13" ht="21" customHeight="1">
      <c r="A101" s="421" t="s">
        <v>851</v>
      </c>
      <c r="B101" s="453" t="s">
        <v>852</v>
      </c>
      <c r="C101" s="453"/>
      <c r="D101" s="453"/>
      <c r="E101" s="453"/>
      <c r="F101" s="453"/>
      <c r="G101" s="453"/>
      <c r="H101" s="453"/>
      <c r="I101" s="453"/>
      <c r="J101" s="453"/>
      <c r="K101" s="453"/>
      <c r="L101" s="453"/>
      <c r="M101" s="422" t="str">
        <f>HYPERLINK("#数据库的标准偏差!A100","跳转")</f>
        <v>跳转</v>
      </c>
    </row>
    <row r="102" spans="1:13" ht="21" customHeight="1">
      <c r="A102" s="418" t="s">
        <v>853</v>
      </c>
      <c r="B102" s="458" t="s">
        <v>854</v>
      </c>
      <c r="C102" s="458"/>
      <c r="D102" s="458"/>
      <c r="E102" s="458"/>
      <c r="F102" s="458"/>
      <c r="G102" s="458"/>
      <c r="H102" s="458"/>
      <c r="I102" s="458"/>
      <c r="J102" s="458"/>
      <c r="K102" s="458"/>
      <c r="L102" s="458"/>
      <c r="M102" s="420" t="str">
        <f>HYPERLINK("#满足条件的列的各种计算!A1","跳转")</f>
        <v>跳转</v>
      </c>
    </row>
    <row r="103" spans="1:13" ht="21" customHeight="1">
      <c r="A103" s="421" t="s">
        <v>855</v>
      </c>
      <c r="B103" s="453" t="s">
        <v>856</v>
      </c>
      <c r="C103" s="453"/>
      <c r="D103" s="453"/>
      <c r="E103" s="453"/>
      <c r="F103" s="453"/>
      <c r="G103" s="453"/>
      <c r="H103" s="453"/>
      <c r="I103" s="453"/>
      <c r="J103" s="453"/>
      <c r="K103" s="453"/>
      <c r="L103" s="453"/>
      <c r="M103" s="422" t="str">
        <f>HYPERLINK("#定期付息证券的修正期限!A1","跳转")</f>
        <v>跳转</v>
      </c>
    </row>
    <row r="104" spans="1:13" ht="21" customHeight="1">
      <c r="A104" s="418" t="s">
        <v>857</v>
      </c>
      <c r="B104" s="458" t="s">
        <v>858</v>
      </c>
      <c r="C104" s="458"/>
      <c r="D104" s="458"/>
      <c r="E104" s="458"/>
      <c r="F104" s="458"/>
      <c r="G104" s="458"/>
      <c r="H104" s="458"/>
      <c r="I104" s="458"/>
      <c r="J104" s="458"/>
      <c r="K104" s="458"/>
      <c r="L104" s="458"/>
      <c r="M104" s="420" t="str">
        <f>HYPERLINK("#计算数据库的方差!A1","跳转")</f>
        <v>跳转</v>
      </c>
    </row>
    <row r="105" spans="1:13" ht="21" customHeight="1">
      <c r="A105" s="421" t="s">
        <v>859</v>
      </c>
      <c r="B105" s="468" t="s">
        <v>705</v>
      </c>
      <c r="C105" s="468"/>
      <c r="D105" s="468"/>
      <c r="E105" s="468"/>
      <c r="F105" s="468"/>
      <c r="G105" s="468"/>
      <c r="H105" s="468"/>
      <c r="I105" s="468"/>
      <c r="J105" s="468"/>
      <c r="K105" s="468"/>
      <c r="L105" s="468"/>
      <c r="M105" s="430" t="str">
        <f>HYPERLINK("#计算数据库的方差!A100","跳转")</f>
        <v>跳转</v>
      </c>
    </row>
    <row r="106" spans="1:13" ht="21" customHeight="1">
      <c r="A106" s="434"/>
      <c r="B106" s="455"/>
      <c r="C106" s="456"/>
      <c r="D106" s="456"/>
      <c r="E106" s="456"/>
      <c r="F106" s="456"/>
      <c r="G106" s="456"/>
      <c r="H106" s="456"/>
      <c r="I106" s="456"/>
      <c r="J106" s="456"/>
      <c r="K106" s="456"/>
      <c r="L106" s="456"/>
      <c r="M106" s="456"/>
    </row>
    <row r="107" spans="1:13" ht="21" customHeight="1">
      <c r="A107" s="416" t="s">
        <v>860</v>
      </c>
      <c r="B107" s="427" t="str">
        <f>HYPERLINK("#A3","跳转首行")</f>
        <v>跳转首行</v>
      </c>
      <c r="C107" s="469" t="s">
        <v>720</v>
      </c>
      <c r="D107" s="469"/>
      <c r="E107" s="469"/>
      <c r="F107" s="469"/>
      <c r="G107" s="469"/>
      <c r="H107" s="469"/>
      <c r="I107" s="469"/>
      <c r="J107" s="469"/>
      <c r="K107" s="469"/>
      <c r="L107" s="469"/>
      <c r="M107" s="469"/>
    </row>
    <row r="108" spans="1:13" ht="21" customHeight="1">
      <c r="A108" s="418" t="s">
        <v>33</v>
      </c>
      <c r="B108" s="458" t="s">
        <v>861</v>
      </c>
      <c r="C108" s="458"/>
      <c r="D108" s="458"/>
      <c r="E108" s="458"/>
      <c r="F108" s="458"/>
      <c r="G108" s="458"/>
      <c r="H108" s="458"/>
      <c r="I108" s="458"/>
      <c r="J108" s="458"/>
      <c r="K108" s="458"/>
      <c r="L108" s="458"/>
      <c r="M108" s="420" t="str">
        <f>HYPERLINK("#计算日期、天数、星期!A1","跳转")</f>
        <v>跳转</v>
      </c>
    </row>
    <row r="109" spans="1:13" ht="21" customHeight="1">
      <c r="A109" s="421" t="s">
        <v>561</v>
      </c>
      <c r="B109" s="453" t="s">
        <v>862</v>
      </c>
      <c r="C109" s="453"/>
      <c r="D109" s="453"/>
      <c r="E109" s="453"/>
      <c r="F109" s="453"/>
      <c r="G109" s="453"/>
      <c r="H109" s="453"/>
      <c r="I109" s="453"/>
      <c r="J109" s="453"/>
      <c r="K109" s="453"/>
      <c r="L109" s="453"/>
      <c r="M109" s="422" t="str">
        <f>HYPERLINK("#贷储利率类!A400","跳转")</f>
        <v>跳转</v>
      </c>
    </row>
    <row r="110" spans="1:13" ht="21" customHeight="1">
      <c r="A110" s="418" t="s">
        <v>35</v>
      </c>
      <c r="B110" s="458" t="s">
        <v>863</v>
      </c>
      <c r="C110" s="458"/>
      <c r="D110" s="458"/>
      <c r="E110" s="458"/>
      <c r="F110" s="458"/>
      <c r="G110" s="458"/>
      <c r="H110" s="458"/>
      <c r="I110" s="458"/>
      <c r="J110" s="458"/>
      <c r="K110" s="458"/>
      <c r="L110" s="458"/>
      <c r="M110" s="420" t="str">
        <f>HYPERLINK("#计算日期、天数、星期!A100","跳转")</f>
        <v>跳转</v>
      </c>
    </row>
    <row r="111" spans="1:13" ht="21" customHeight="1">
      <c r="A111" s="421" t="s">
        <v>864</v>
      </c>
      <c r="B111" s="453" t="s">
        <v>865</v>
      </c>
      <c r="C111" s="453"/>
      <c r="D111" s="453"/>
      <c r="E111" s="453"/>
      <c r="F111" s="453"/>
      <c r="G111" s="453"/>
      <c r="H111" s="453"/>
      <c r="I111" s="453"/>
      <c r="J111" s="453"/>
      <c r="K111" s="453"/>
      <c r="L111" s="453"/>
      <c r="M111" s="422" t="str">
        <f>HYPERLINK("#使用误差函数!A1","跳转")</f>
        <v>跳转</v>
      </c>
    </row>
    <row r="112" spans="1:13" ht="21" customHeight="1">
      <c r="A112" s="418" t="s">
        <v>866</v>
      </c>
      <c r="B112" s="458" t="s">
        <v>867</v>
      </c>
      <c r="C112" s="458"/>
      <c r="D112" s="458"/>
      <c r="E112" s="458"/>
      <c r="F112" s="458"/>
      <c r="G112" s="458"/>
      <c r="H112" s="458"/>
      <c r="I112" s="458"/>
      <c r="J112" s="458"/>
      <c r="K112" s="458"/>
      <c r="L112" s="458"/>
      <c r="M112" s="420" t="str">
        <f>HYPERLINK("#使用误差函数!A100","跳转")</f>
        <v>跳转</v>
      </c>
    </row>
    <row r="113" spans="1:13" ht="21" customHeight="1">
      <c r="A113" s="421" t="s">
        <v>868</v>
      </c>
      <c r="B113" s="453" t="s">
        <v>869</v>
      </c>
      <c r="C113" s="453"/>
      <c r="D113" s="453"/>
      <c r="E113" s="453"/>
      <c r="F113" s="453"/>
      <c r="G113" s="453"/>
      <c r="H113" s="453"/>
      <c r="I113" s="453"/>
      <c r="J113" s="453"/>
      <c r="K113" s="453"/>
      <c r="L113" s="453"/>
      <c r="M113" s="422" t="str">
        <f>HYPERLINK("#查看数据型或错误值!A200","跳转")</f>
        <v>跳转</v>
      </c>
    </row>
    <row r="114" spans="1:13" ht="21" customHeight="1">
      <c r="A114" s="429" t="s">
        <v>870</v>
      </c>
      <c r="B114" s="458" t="s">
        <v>871</v>
      </c>
      <c r="C114" s="458"/>
      <c r="D114" s="458"/>
      <c r="E114" s="458"/>
      <c r="F114" s="458"/>
      <c r="G114" s="458"/>
      <c r="H114" s="458"/>
      <c r="I114" s="458"/>
      <c r="J114" s="458"/>
      <c r="K114" s="458"/>
      <c r="L114" s="458"/>
      <c r="M114" s="420" t="str">
        <f>HYPERLINK("#外部函数!A1","跳转")</f>
        <v>跳转</v>
      </c>
    </row>
    <row r="115" spans="1:13" ht="21" customHeight="1">
      <c r="A115" s="421" t="s">
        <v>132</v>
      </c>
      <c r="B115" s="453" t="s">
        <v>872</v>
      </c>
      <c r="C115" s="453"/>
      <c r="D115" s="453"/>
      <c r="E115" s="453"/>
      <c r="F115" s="453"/>
      <c r="G115" s="453"/>
      <c r="H115" s="453"/>
      <c r="I115" s="453"/>
      <c r="J115" s="453"/>
      <c r="K115" s="453"/>
      <c r="L115" s="453"/>
      <c r="M115" s="422" t="str">
        <f>HYPERLINK("#数值舍入取整!A800","跳转")</f>
        <v>跳转</v>
      </c>
    </row>
    <row r="116" spans="1:13" ht="21" customHeight="1">
      <c r="A116" s="418" t="s">
        <v>377</v>
      </c>
      <c r="B116" s="458" t="s">
        <v>873</v>
      </c>
      <c r="C116" s="458"/>
      <c r="D116" s="458"/>
      <c r="E116" s="458"/>
      <c r="F116" s="458"/>
      <c r="G116" s="458"/>
      <c r="H116" s="458"/>
      <c r="I116" s="458"/>
      <c r="J116" s="458"/>
      <c r="K116" s="458"/>
      <c r="L116" s="458"/>
      <c r="M116" s="420" t="str">
        <f>HYPERLINK("#检查重复返回文本!A1","跳转")</f>
        <v>跳转</v>
      </c>
    </row>
    <row r="117" spans="1:13" ht="21" customHeight="1">
      <c r="A117" s="421" t="s">
        <v>175</v>
      </c>
      <c r="B117" s="453" t="s">
        <v>874</v>
      </c>
      <c r="C117" s="453"/>
      <c r="D117" s="453"/>
      <c r="E117" s="453"/>
      <c r="F117" s="453"/>
      <c r="G117" s="453"/>
      <c r="H117" s="453"/>
      <c r="I117" s="453"/>
      <c r="J117" s="453"/>
      <c r="K117" s="453"/>
      <c r="L117" s="453"/>
      <c r="M117" s="422" t="str">
        <f>HYPERLINK("#指数与对数函数!A100","跳转")</f>
        <v>跳转</v>
      </c>
    </row>
    <row r="118" spans="1:13" ht="21" customHeight="1">
      <c r="A118" s="418" t="s">
        <v>875</v>
      </c>
      <c r="B118" s="454" t="s">
        <v>876</v>
      </c>
      <c r="C118" s="454"/>
      <c r="D118" s="454"/>
      <c r="E118" s="454"/>
      <c r="F118" s="454"/>
      <c r="G118" s="454"/>
      <c r="H118" s="454"/>
      <c r="I118" s="454"/>
      <c r="J118" s="454"/>
      <c r="K118" s="454"/>
      <c r="L118" s="454"/>
      <c r="M118" s="423" t="str">
        <f>HYPERLINK("#ZTEST与EXPONDIST与WEIBULL!A100","跳转")</f>
        <v>跳转</v>
      </c>
    </row>
    <row r="119" spans="1:13" ht="21" customHeight="1">
      <c r="A119" s="62"/>
      <c r="B119" s="466"/>
      <c r="C119" s="467"/>
      <c r="D119" s="467"/>
      <c r="E119" s="467"/>
      <c r="F119" s="467"/>
      <c r="G119" s="467"/>
      <c r="H119" s="467"/>
      <c r="I119" s="467"/>
      <c r="J119" s="467"/>
      <c r="K119" s="467"/>
      <c r="L119" s="467"/>
      <c r="M119" s="467"/>
    </row>
    <row r="120" spans="1:13" ht="21" customHeight="1">
      <c r="A120" s="416" t="s">
        <v>877</v>
      </c>
      <c r="B120" s="417" t="str">
        <f>HYPERLINK("#A3","跳转首行")</f>
        <v>跳转首行</v>
      </c>
      <c r="C120" s="457" t="s">
        <v>720</v>
      </c>
      <c r="D120" s="457"/>
      <c r="E120" s="457"/>
      <c r="F120" s="457"/>
      <c r="G120" s="457"/>
      <c r="H120" s="457"/>
      <c r="I120" s="457"/>
      <c r="J120" s="457"/>
      <c r="K120" s="457"/>
      <c r="L120" s="457"/>
      <c r="M120" s="457"/>
    </row>
    <row r="121" spans="1:13" ht="21" customHeight="1">
      <c r="A121" s="418" t="s">
        <v>153</v>
      </c>
      <c r="B121" s="458" t="s">
        <v>878</v>
      </c>
      <c r="C121" s="458"/>
      <c r="D121" s="458"/>
      <c r="E121" s="458"/>
      <c r="F121" s="458"/>
      <c r="G121" s="458"/>
      <c r="H121" s="458"/>
      <c r="I121" s="458"/>
      <c r="J121" s="458"/>
      <c r="K121" s="458"/>
      <c r="L121" s="458"/>
      <c r="M121" s="423" t="str">
        <f>HYPERLINK("#组合的计算!A1","跳转")</f>
        <v>跳转</v>
      </c>
    </row>
    <row r="122" spans="1:13" ht="21" customHeight="1">
      <c r="A122" s="421" t="s">
        <v>155</v>
      </c>
      <c r="B122" s="453" t="s">
        <v>879</v>
      </c>
      <c r="C122" s="453"/>
      <c r="D122" s="453"/>
      <c r="E122" s="453"/>
      <c r="F122" s="453"/>
      <c r="G122" s="453"/>
      <c r="H122" s="453"/>
      <c r="I122" s="453"/>
      <c r="J122" s="453"/>
      <c r="K122" s="453"/>
      <c r="L122" s="453"/>
      <c r="M122" s="422" t="str">
        <f>HYPERLINK("#组合的计算!A100","跳转")</f>
        <v>跳转</v>
      </c>
    </row>
    <row r="123" spans="1:13" ht="21" customHeight="1">
      <c r="A123" s="419" t="b">
        <v>0</v>
      </c>
      <c r="B123" s="458" t="s">
        <v>880</v>
      </c>
      <c r="C123" s="458"/>
      <c r="D123" s="458"/>
      <c r="E123" s="458"/>
      <c r="F123" s="458"/>
      <c r="G123" s="458"/>
      <c r="H123" s="458"/>
      <c r="I123" s="458"/>
      <c r="J123" s="458"/>
      <c r="K123" s="458"/>
      <c r="L123" s="458"/>
      <c r="M123" s="420" t="str">
        <f>HYPERLINK("#表示逻辑值!A100","跳转")</f>
        <v>跳转</v>
      </c>
    </row>
    <row r="124" spans="1:13" ht="21" customHeight="1">
      <c r="A124" s="421" t="s">
        <v>881</v>
      </c>
      <c r="B124" s="453" t="s">
        <v>882</v>
      </c>
      <c r="C124" s="453"/>
      <c r="D124" s="453"/>
      <c r="E124" s="453"/>
      <c r="F124" s="453"/>
      <c r="G124" s="453"/>
      <c r="H124" s="453"/>
      <c r="I124" s="453"/>
      <c r="J124" s="453"/>
      <c r="K124" s="453"/>
      <c r="L124" s="453"/>
      <c r="M124" s="422" t="str">
        <f>HYPERLINK("#F分布与检验!A1","跳转")</f>
        <v>跳转</v>
      </c>
    </row>
    <row r="125" spans="1:13" ht="21" customHeight="1">
      <c r="A125" s="418" t="s">
        <v>338</v>
      </c>
      <c r="B125" s="458" t="s">
        <v>883</v>
      </c>
      <c r="C125" s="458"/>
      <c r="D125" s="458"/>
      <c r="E125" s="458"/>
      <c r="F125" s="458"/>
      <c r="G125" s="458"/>
      <c r="H125" s="458"/>
      <c r="I125" s="458"/>
      <c r="J125" s="458"/>
      <c r="K125" s="458"/>
      <c r="L125" s="458"/>
      <c r="M125" s="420" t="str">
        <f>HYPERLINK("#检索文本!A1","跳转")</f>
        <v>跳转</v>
      </c>
    </row>
    <row r="126" spans="1:13" ht="21" customHeight="1">
      <c r="A126" s="421" t="s">
        <v>339</v>
      </c>
      <c r="B126" s="453" t="s">
        <v>884</v>
      </c>
      <c r="C126" s="453"/>
      <c r="D126" s="453"/>
      <c r="E126" s="453"/>
      <c r="F126" s="453"/>
      <c r="G126" s="453"/>
      <c r="H126" s="453"/>
      <c r="I126" s="453"/>
      <c r="J126" s="453"/>
      <c r="K126" s="453"/>
      <c r="L126" s="453"/>
      <c r="M126" s="422" t="str">
        <f>HYPERLINK("#检索文本!A100","跳转")</f>
        <v>跳转</v>
      </c>
    </row>
    <row r="127" spans="1:13" ht="21" customHeight="1">
      <c r="A127" s="418" t="s">
        <v>885</v>
      </c>
      <c r="B127" s="458" t="s">
        <v>886</v>
      </c>
      <c r="C127" s="458"/>
      <c r="D127" s="458"/>
      <c r="E127" s="458"/>
      <c r="F127" s="458"/>
      <c r="G127" s="458"/>
      <c r="H127" s="458"/>
      <c r="I127" s="458"/>
      <c r="J127" s="458"/>
      <c r="K127" s="458"/>
      <c r="L127" s="458"/>
      <c r="M127" s="420" t="str">
        <f>HYPERLINK("#F分布与检验!A100","跳转")</f>
        <v>跳转</v>
      </c>
    </row>
    <row r="128" spans="1:13" ht="21" customHeight="1">
      <c r="A128" s="421" t="s">
        <v>887</v>
      </c>
      <c r="B128" s="453" t="s">
        <v>888</v>
      </c>
      <c r="C128" s="453"/>
      <c r="D128" s="453"/>
      <c r="E128" s="453"/>
      <c r="F128" s="453"/>
      <c r="G128" s="453"/>
      <c r="H128" s="453"/>
      <c r="I128" s="453"/>
      <c r="J128" s="453"/>
      <c r="K128" s="453"/>
      <c r="L128" s="453"/>
      <c r="M128" s="422" t="str">
        <f>HYPERLINK("#FISHER变换!A1","跳转")</f>
        <v>跳转</v>
      </c>
    </row>
    <row r="129" spans="1:13" ht="21" customHeight="1">
      <c r="A129" s="418" t="s">
        <v>889</v>
      </c>
      <c r="B129" s="458" t="s">
        <v>890</v>
      </c>
      <c r="C129" s="458"/>
      <c r="D129" s="458"/>
      <c r="E129" s="458"/>
      <c r="F129" s="458"/>
      <c r="G129" s="458"/>
      <c r="H129" s="458"/>
      <c r="I129" s="458"/>
      <c r="J129" s="458"/>
      <c r="K129" s="458"/>
      <c r="L129" s="458"/>
      <c r="M129" s="420" t="str">
        <f>HYPERLINK("#FISHER变换!A100","跳转")</f>
        <v>跳转</v>
      </c>
    </row>
    <row r="130" spans="1:13" ht="21" customHeight="1">
      <c r="A130" s="421" t="s">
        <v>369</v>
      </c>
      <c r="B130" s="453" t="s">
        <v>891</v>
      </c>
      <c r="C130" s="453"/>
      <c r="D130" s="453"/>
      <c r="E130" s="453"/>
      <c r="F130" s="453"/>
      <c r="G130" s="453"/>
      <c r="H130" s="453"/>
      <c r="I130" s="453"/>
      <c r="J130" s="453"/>
      <c r="K130" s="453"/>
      <c r="L130" s="453"/>
      <c r="M130" s="422" t="str">
        <f>HYPERLINK("#数值转换成格式!A300","跳转")</f>
        <v>跳转</v>
      </c>
    </row>
    <row r="131" spans="1:13" ht="21" customHeight="1">
      <c r="A131" s="418" t="s">
        <v>126</v>
      </c>
      <c r="B131" s="458" t="s">
        <v>892</v>
      </c>
      <c r="C131" s="458"/>
      <c r="D131" s="458"/>
      <c r="E131" s="458"/>
      <c r="F131" s="458"/>
      <c r="G131" s="458"/>
      <c r="H131" s="458"/>
      <c r="I131" s="458"/>
      <c r="J131" s="458"/>
      <c r="K131" s="458"/>
      <c r="L131" s="458"/>
      <c r="M131" s="420" t="str">
        <f>HYPERLINK("#数值舍入取整!A500","跳转")</f>
        <v>跳转</v>
      </c>
    </row>
    <row r="132" spans="1:13" ht="21" customHeight="1">
      <c r="A132" s="421" t="s">
        <v>467</v>
      </c>
      <c r="B132" s="453" t="s">
        <v>893</v>
      </c>
      <c r="C132" s="453"/>
      <c r="D132" s="453"/>
      <c r="E132" s="453"/>
      <c r="F132" s="453"/>
      <c r="G132" s="453"/>
      <c r="H132" s="453"/>
      <c r="I132" s="453"/>
      <c r="J132" s="453"/>
      <c r="K132" s="453"/>
      <c r="L132" s="453"/>
      <c r="M132" s="422" t="str">
        <f>HYPERLINK("#使用回归直曲线或指数回归进行的预测!A1","跳转")</f>
        <v>跳转</v>
      </c>
    </row>
    <row r="133" spans="1:13" ht="21" customHeight="1">
      <c r="A133" s="418" t="s">
        <v>428</v>
      </c>
      <c r="B133" s="458" t="s">
        <v>5980</v>
      </c>
      <c r="C133" s="458"/>
      <c r="D133" s="458"/>
      <c r="E133" s="458"/>
      <c r="F133" s="458"/>
      <c r="G133" s="458"/>
      <c r="H133" s="458"/>
      <c r="I133" s="458"/>
      <c r="J133" s="458"/>
      <c r="K133" s="458"/>
      <c r="L133" s="458"/>
      <c r="M133" s="420" t="str">
        <f>HYPERLINK("#FREQUENCY!A1","跳转")</f>
        <v>跳转</v>
      </c>
    </row>
    <row r="134" spans="1:13" ht="21" customHeight="1">
      <c r="A134" s="421" t="s">
        <v>894</v>
      </c>
      <c r="B134" s="453" t="s">
        <v>895</v>
      </c>
      <c r="C134" s="453"/>
      <c r="D134" s="453"/>
      <c r="E134" s="453"/>
      <c r="F134" s="453"/>
      <c r="G134" s="453"/>
      <c r="H134" s="453"/>
      <c r="I134" s="453"/>
      <c r="J134" s="453"/>
      <c r="K134" s="453"/>
      <c r="L134" s="453"/>
      <c r="M134" s="422" t="str">
        <f>HYPERLINK("#F分布与检验!A200","跳转")</f>
        <v>跳转</v>
      </c>
    </row>
    <row r="135" spans="1:13" ht="21" customHeight="1">
      <c r="A135" s="418" t="s">
        <v>896</v>
      </c>
      <c r="B135" s="458" t="s">
        <v>897</v>
      </c>
      <c r="C135" s="458"/>
      <c r="D135" s="458"/>
      <c r="E135" s="458"/>
      <c r="F135" s="458"/>
      <c r="G135" s="458"/>
      <c r="H135" s="458"/>
      <c r="I135" s="458"/>
      <c r="J135" s="458"/>
      <c r="K135" s="458"/>
      <c r="L135" s="458"/>
      <c r="M135" s="420" t="str">
        <f>HYPERLINK("#贷储利率类!A1","跳转")</f>
        <v>跳转</v>
      </c>
    </row>
    <row r="136" spans="1:13" ht="21" customHeight="1">
      <c r="A136" s="421" t="s">
        <v>898</v>
      </c>
      <c r="B136" s="459" t="s">
        <v>899</v>
      </c>
      <c r="C136" s="459"/>
      <c r="D136" s="459"/>
      <c r="E136" s="459"/>
      <c r="F136" s="459"/>
      <c r="G136" s="459"/>
      <c r="H136" s="459"/>
      <c r="I136" s="459"/>
      <c r="J136" s="459"/>
      <c r="K136" s="459"/>
      <c r="L136" s="459"/>
      <c r="M136" s="430" t="str">
        <f>HYPERLINK("#贷储利率类!A100","跳转")</f>
        <v>跳转</v>
      </c>
    </row>
    <row r="137" spans="1:13" ht="21" customHeight="1">
      <c r="A137" s="431"/>
      <c r="B137" s="455"/>
      <c r="C137" s="456"/>
      <c r="D137" s="456"/>
      <c r="E137" s="456"/>
      <c r="F137" s="456"/>
      <c r="G137" s="456"/>
      <c r="H137" s="456"/>
      <c r="I137" s="456"/>
      <c r="J137" s="456"/>
      <c r="K137" s="456"/>
      <c r="L137" s="456"/>
      <c r="M137" s="456"/>
    </row>
    <row r="138" spans="1:13" ht="21" customHeight="1">
      <c r="A138" s="416" t="s">
        <v>900</v>
      </c>
      <c r="B138" s="417" t="str">
        <f>HYPERLINK("#A3","跳转首行")</f>
        <v>跳转首行</v>
      </c>
      <c r="C138" s="457" t="s">
        <v>720</v>
      </c>
      <c r="D138" s="457"/>
      <c r="E138" s="457"/>
      <c r="F138" s="457"/>
      <c r="G138" s="457"/>
      <c r="H138" s="457"/>
      <c r="I138" s="457"/>
      <c r="J138" s="457"/>
      <c r="K138" s="457"/>
      <c r="L138" s="457"/>
      <c r="M138" s="457"/>
    </row>
    <row r="139" spans="1:13" ht="21" customHeight="1">
      <c r="A139" s="418" t="s">
        <v>901</v>
      </c>
      <c r="B139" s="458" t="s">
        <v>902</v>
      </c>
      <c r="C139" s="458"/>
      <c r="D139" s="458"/>
      <c r="E139" s="458"/>
      <c r="F139" s="458"/>
      <c r="G139" s="458"/>
      <c r="H139" s="458"/>
      <c r="I139" s="458"/>
      <c r="J139" s="458"/>
      <c r="K139" s="458"/>
      <c r="L139" s="458"/>
      <c r="M139" s="420" t="str">
        <f>HYPERLINK("#计算伽玛分布!A1","跳转")</f>
        <v>跳转</v>
      </c>
    </row>
    <row r="140" spans="1:13" ht="21" customHeight="1">
      <c r="A140" s="421" t="s">
        <v>903</v>
      </c>
      <c r="B140" s="453" t="s">
        <v>904</v>
      </c>
      <c r="C140" s="453"/>
      <c r="D140" s="453"/>
      <c r="E140" s="453"/>
      <c r="F140" s="453"/>
      <c r="G140" s="453"/>
      <c r="H140" s="453"/>
      <c r="I140" s="453"/>
      <c r="J140" s="453"/>
      <c r="K140" s="453"/>
      <c r="L140" s="453"/>
      <c r="M140" s="422" t="str">
        <f>HYPERLINK("#计算伽玛分布!A100","跳转")</f>
        <v>跳转</v>
      </c>
    </row>
    <row r="141" spans="1:13" ht="21" customHeight="1">
      <c r="A141" s="418" t="s">
        <v>905</v>
      </c>
      <c r="B141" s="458" t="s">
        <v>906</v>
      </c>
      <c r="C141" s="458"/>
      <c r="D141" s="458"/>
      <c r="E141" s="458"/>
      <c r="F141" s="458"/>
      <c r="G141" s="458"/>
      <c r="H141" s="458"/>
      <c r="I141" s="458"/>
      <c r="J141" s="458"/>
      <c r="K141" s="458"/>
      <c r="L141" s="458"/>
      <c r="M141" s="420" t="str">
        <f>HYPERLINK("#计算伽玛分布!A200","跳转")</f>
        <v>跳转</v>
      </c>
    </row>
    <row r="142" spans="1:13" ht="21" customHeight="1">
      <c r="A142" s="421" t="s">
        <v>142</v>
      </c>
      <c r="B142" s="453" t="s">
        <v>907</v>
      </c>
      <c r="C142" s="453"/>
      <c r="D142" s="453"/>
      <c r="E142" s="453"/>
      <c r="F142" s="453"/>
      <c r="G142" s="453"/>
      <c r="H142" s="453"/>
      <c r="I142" s="453"/>
      <c r="J142" s="453"/>
      <c r="K142" s="453"/>
      <c r="L142" s="453"/>
      <c r="M142" s="422" t="str">
        <f>HYPERLINK("#最大公约数或最小公倍数!A1","跳转")</f>
        <v>跳转</v>
      </c>
    </row>
    <row r="143" spans="1:13" ht="21" customHeight="1">
      <c r="A143" s="418" t="s">
        <v>403</v>
      </c>
      <c r="B143" s="458" t="s">
        <v>908</v>
      </c>
      <c r="C143" s="458"/>
      <c r="D143" s="458"/>
      <c r="E143" s="458"/>
      <c r="F143" s="458"/>
      <c r="G143" s="458"/>
      <c r="H143" s="458"/>
      <c r="I143" s="458"/>
      <c r="J143" s="458"/>
      <c r="K143" s="458"/>
      <c r="L143" s="458"/>
      <c r="M143" s="420" t="str">
        <f>HYPERLINK("#平均值!A200","跳转")</f>
        <v>跳转</v>
      </c>
    </row>
    <row r="144" spans="1:13" ht="21" customHeight="1">
      <c r="A144" s="421" t="s">
        <v>909</v>
      </c>
      <c r="B144" s="453" t="s">
        <v>664</v>
      </c>
      <c r="C144" s="453"/>
      <c r="D144" s="453"/>
      <c r="E144" s="453"/>
      <c r="F144" s="453"/>
      <c r="G144" s="453"/>
      <c r="H144" s="453"/>
      <c r="I144" s="453"/>
      <c r="J144" s="453"/>
      <c r="K144" s="453"/>
      <c r="L144" s="453"/>
      <c r="M144" s="422" t="str">
        <f>HYPERLINK("#比较数值!A100","跳转")</f>
        <v>跳转</v>
      </c>
    </row>
    <row r="145" spans="1:13" ht="21" customHeight="1">
      <c r="A145" s="429" t="s">
        <v>710</v>
      </c>
      <c r="B145" s="458" t="s">
        <v>910</v>
      </c>
      <c r="C145" s="458"/>
      <c r="D145" s="458"/>
      <c r="E145" s="458"/>
      <c r="F145" s="458"/>
      <c r="G145" s="458"/>
      <c r="H145" s="458"/>
      <c r="I145" s="458"/>
      <c r="J145" s="458"/>
      <c r="K145" s="458"/>
      <c r="L145" s="458"/>
      <c r="M145" s="420" t="str">
        <f>HYPERLINK("#使用数据透视表!A1","跳转")</f>
        <v>跳转</v>
      </c>
    </row>
    <row r="146" spans="1:13" ht="21" customHeight="1">
      <c r="A146" s="435" t="s">
        <v>710</v>
      </c>
      <c r="B146" s="453" t="s">
        <v>911</v>
      </c>
      <c r="C146" s="453"/>
      <c r="D146" s="453"/>
      <c r="E146" s="453"/>
      <c r="F146" s="453"/>
      <c r="G146" s="453"/>
      <c r="H146" s="453"/>
      <c r="I146" s="453"/>
      <c r="J146" s="453"/>
      <c r="K146" s="453"/>
      <c r="L146" s="453"/>
      <c r="M146" s="422" t="str">
        <f>HYPERLINK("#使用数据透视表!A1","跳转")</f>
        <v>跳转</v>
      </c>
    </row>
    <row r="147" spans="1:13" ht="21" customHeight="1">
      <c r="A147" s="418" t="s">
        <v>482</v>
      </c>
      <c r="B147" s="454" t="s">
        <v>912</v>
      </c>
      <c r="C147" s="454"/>
      <c r="D147" s="454"/>
      <c r="E147" s="454"/>
      <c r="F147" s="454"/>
      <c r="G147" s="454"/>
      <c r="H147" s="454"/>
      <c r="I147" s="454"/>
      <c r="J147" s="454"/>
      <c r="K147" s="454"/>
      <c r="L147" s="454"/>
      <c r="M147" s="423" t="str">
        <f>HYPERLINK("#使用回归直曲线或指数回归进行的预测!A700","跳转")</f>
        <v>跳转</v>
      </c>
    </row>
    <row r="148" spans="1:13" ht="21" customHeight="1">
      <c r="A148" s="62"/>
      <c r="B148" s="455"/>
      <c r="C148" s="456"/>
      <c r="D148" s="456"/>
      <c r="E148" s="456"/>
      <c r="F148" s="456"/>
      <c r="G148" s="456"/>
      <c r="H148" s="456"/>
      <c r="I148" s="456"/>
      <c r="J148" s="456"/>
      <c r="K148" s="456"/>
      <c r="L148" s="456"/>
      <c r="M148" s="456"/>
    </row>
    <row r="149" spans="1:13" ht="21" customHeight="1">
      <c r="A149" s="416" t="s">
        <v>913</v>
      </c>
      <c r="B149" s="417" t="str">
        <f>HYPERLINK("#A3","跳转首行")</f>
        <v>跳转首行</v>
      </c>
      <c r="C149" s="457" t="s">
        <v>720</v>
      </c>
      <c r="D149" s="457"/>
      <c r="E149" s="457"/>
      <c r="F149" s="457"/>
      <c r="G149" s="457"/>
      <c r="H149" s="457"/>
      <c r="I149" s="457"/>
      <c r="J149" s="457"/>
      <c r="K149" s="457"/>
      <c r="L149" s="457"/>
      <c r="M149" s="457"/>
    </row>
    <row r="150" spans="1:13" ht="21" customHeight="1">
      <c r="A150" s="418" t="s">
        <v>405</v>
      </c>
      <c r="B150" s="458"/>
      <c r="C150" s="458"/>
      <c r="D150" s="458"/>
      <c r="E150" s="458"/>
      <c r="F150" s="458"/>
      <c r="G150" s="458"/>
      <c r="H150" s="458"/>
      <c r="I150" s="458"/>
      <c r="J150" s="458"/>
      <c r="K150" s="458"/>
      <c r="L150" s="458"/>
      <c r="M150" s="420" t="str">
        <f>HYPERLINK("#平均值!A300","跳转")</f>
        <v>跳转</v>
      </c>
    </row>
    <row r="151" spans="1:13" ht="21" customHeight="1">
      <c r="A151" s="421" t="s">
        <v>914</v>
      </c>
      <c r="B151" s="453" t="s">
        <v>915</v>
      </c>
      <c r="C151" s="453"/>
      <c r="D151" s="453"/>
      <c r="E151" s="453"/>
      <c r="F151" s="453"/>
      <c r="G151" s="453"/>
      <c r="H151" s="453"/>
      <c r="I151" s="453"/>
      <c r="J151" s="453"/>
      <c r="K151" s="453"/>
      <c r="L151" s="453"/>
      <c r="M151" s="422" t="str">
        <f>HYPERLINK("#交换数值的进制标记!A900","跳转")</f>
        <v>跳转</v>
      </c>
    </row>
    <row r="152" spans="1:13" ht="21" customHeight="1">
      <c r="A152" s="418" t="s">
        <v>916</v>
      </c>
      <c r="B152" s="458" t="s">
        <v>917</v>
      </c>
      <c r="C152" s="458"/>
      <c r="D152" s="458"/>
      <c r="E152" s="458"/>
      <c r="F152" s="458"/>
      <c r="G152" s="458"/>
      <c r="H152" s="458"/>
      <c r="I152" s="458"/>
      <c r="J152" s="458"/>
      <c r="K152" s="458"/>
      <c r="L152" s="458"/>
      <c r="M152" s="420" t="str">
        <f>HYPERLINK("#交换数值的进制标记!A1100","跳转")</f>
        <v>跳转</v>
      </c>
    </row>
    <row r="153" spans="1:13" ht="21" customHeight="1">
      <c r="A153" s="421" t="s">
        <v>918</v>
      </c>
      <c r="B153" s="453" t="s">
        <v>919</v>
      </c>
      <c r="C153" s="453"/>
      <c r="D153" s="453"/>
      <c r="E153" s="453"/>
      <c r="F153" s="453"/>
      <c r="G153" s="453"/>
      <c r="H153" s="453"/>
      <c r="I153" s="453"/>
      <c r="J153" s="453"/>
      <c r="K153" s="453"/>
      <c r="L153" s="453"/>
      <c r="M153" s="422" t="str">
        <f>HYPERLINK("#交换数值的进制标记!A1000","跳转")</f>
        <v>跳转</v>
      </c>
    </row>
    <row r="154" spans="1:13" ht="21" customHeight="1">
      <c r="A154" s="418" t="s">
        <v>262</v>
      </c>
      <c r="B154" s="458" t="s">
        <v>920</v>
      </c>
      <c r="C154" s="458"/>
      <c r="D154" s="458"/>
      <c r="E154" s="458"/>
      <c r="F154" s="458"/>
      <c r="G154" s="458"/>
      <c r="H154" s="458"/>
      <c r="I154" s="458"/>
      <c r="J154" s="458"/>
      <c r="K154" s="458"/>
      <c r="L154" s="458"/>
      <c r="M154" s="420" t="str">
        <f>HYPERLINK("#"&amp;A155&amp;"!A1","跳转")</f>
        <v>跳转</v>
      </c>
    </row>
    <row r="155" spans="1:13" ht="21" customHeight="1">
      <c r="A155" s="421" t="s">
        <v>84</v>
      </c>
      <c r="B155" s="453" t="s">
        <v>921</v>
      </c>
      <c r="C155" s="453"/>
      <c r="D155" s="453"/>
      <c r="E155" s="453"/>
      <c r="F155" s="453"/>
      <c r="G155" s="453"/>
      <c r="H155" s="453"/>
      <c r="I155" s="453"/>
      <c r="J155" s="453"/>
      <c r="K155" s="453"/>
      <c r="L155" s="453"/>
      <c r="M155" s="422" t="str">
        <f>HYPERLINK("#提取时分秒!A1","跳转")</f>
        <v>跳转</v>
      </c>
    </row>
    <row r="156" spans="1:13" ht="21" customHeight="1">
      <c r="A156" s="418" t="s">
        <v>299</v>
      </c>
      <c r="B156" s="458" t="s">
        <v>922</v>
      </c>
      <c r="C156" s="458"/>
      <c r="D156" s="458"/>
      <c r="E156" s="458"/>
      <c r="F156" s="458"/>
      <c r="G156" s="458"/>
      <c r="H156" s="458"/>
      <c r="I156" s="458"/>
      <c r="J156" s="458"/>
      <c r="K156" s="458"/>
      <c r="L156" s="458"/>
      <c r="M156" s="420" t="str">
        <f>HYPERLINK("#"&amp;C172&amp;"!A1","跳转")</f>
        <v>跳转</v>
      </c>
    </row>
    <row r="157" spans="1:13" ht="21" customHeight="1">
      <c r="A157" s="435" t="s">
        <v>923</v>
      </c>
      <c r="B157" s="459" t="s">
        <v>924</v>
      </c>
      <c r="C157" s="459"/>
      <c r="D157" s="459"/>
      <c r="E157" s="459"/>
      <c r="F157" s="459"/>
      <c r="G157" s="459"/>
      <c r="H157" s="459"/>
      <c r="I157" s="459"/>
      <c r="J157" s="459"/>
      <c r="K157" s="459"/>
      <c r="L157" s="459"/>
      <c r="M157" s="430" t="str">
        <f>HYPERLINK("#各种分布的概率!A300","跳转")</f>
        <v>跳转</v>
      </c>
    </row>
    <row r="158" spans="1:13" ht="21" customHeight="1">
      <c r="A158" s="431"/>
      <c r="B158" s="455"/>
      <c r="C158" s="456"/>
      <c r="D158" s="456"/>
      <c r="E158" s="456"/>
      <c r="F158" s="456"/>
      <c r="G158" s="456"/>
      <c r="H158" s="456"/>
      <c r="I158" s="456"/>
      <c r="J158" s="456"/>
      <c r="K158" s="456"/>
      <c r="L158" s="456"/>
      <c r="M158" s="456"/>
    </row>
    <row r="159" spans="1:13" ht="21" customHeight="1">
      <c r="A159" s="416" t="s">
        <v>925</v>
      </c>
      <c r="B159" s="417" t="str">
        <f>HYPERLINK("#A3","跳转首行")</f>
        <v>跳转首行</v>
      </c>
      <c r="C159" s="457" t="s">
        <v>720</v>
      </c>
      <c r="D159" s="457"/>
      <c r="E159" s="457"/>
      <c r="F159" s="457"/>
      <c r="G159" s="457"/>
      <c r="H159" s="457"/>
      <c r="I159" s="457"/>
      <c r="J159" s="457"/>
      <c r="K159" s="457"/>
      <c r="L159" s="457"/>
      <c r="M159" s="457"/>
    </row>
    <row r="160" spans="1:13" ht="21" customHeight="1">
      <c r="A160" s="418" t="s">
        <v>245</v>
      </c>
      <c r="B160" s="458" t="s">
        <v>926</v>
      </c>
      <c r="C160" s="458"/>
      <c r="D160" s="458"/>
      <c r="E160" s="458"/>
      <c r="F160" s="458"/>
      <c r="G160" s="458"/>
      <c r="H160" s="458"/>
      <c r="I160" s="458"/>
      <c r="J160" s="458"/>
      <c r="K160" s="458"/>
      <c r="L160" s="458"/>
      <c r="M160" s="420" t="str">
        <f>HYPERLINK("#"&amp;A160&amp;"!A1","跳转")</f>
        <v>跳转</v>
      </c>
    </row>
    <row r="161" spans="1:13" ht="21" customHeight="1">
      <c r="A161" s="421" t="s">
        <v>927</v>
      </c>
      <c r="B161" s="453" t="s">
        <v>928</v>
      </c>
      <c r="C161" s="453"/>
      <c r="D161" s="453"/>
      <c r="E161" s="453"/>
      <c r="F161" s="453"/>
      <c r="G161" s="453"/>
      <c r="H161" s="453"/>
      <c r="I161" s="453"/>
      <c r="J161" s="453"/>
      <c r="K161" s="453"/>
      <c r="L161" s="453"/>
      <c r="M161" s="422" t="str">
        <f>HYPERLINK("#复数转换成模形式!A1","跳转")</f>
        <v>跳转</v>
      </c>
    </row>
    <row r="162" spans="1:13" ht="21" customHeight="1">
      <c r="A162" s="418" t="s">
        <v>929</v>
      </c>
      <c r="B162" s="458" t="s">
        <v>930</v>
      </c>
      <c r="C162" s="458"/>
      <c r="D162" s="458"/>
      <c r="E162" s="458"/>
      <c r="F162" s="458"/>
      <c r="G162" s="458"/>
      <c r="H162" s="458"/>
      <c r="I162" s="458"/>
      <c r="J162" s="458"/>
      <c r="K162" s="458"/>
      <c r="L162" s="458"/>
      <c r="M162" s="420" t="str">
        <f>HYPERLINK("#构成和分解复数!A200","跳转")</f>
        <v>跳转</v>
      </c>
    </row>
    <row r="163" spans="1:13" ht="21" customHeight="1">
      <c r="A163" s="421" t="s">
        <v>931</v>
      </c>
      <c r="B163" s="453" t="s">
        <v>932</v>
      </c>
      <c r="C163" s="453"/>
      <c r="D163" s="453"/>
      <c r="E163" s="453"/>
      <c r="F163" s="453"/>
      <c r="G163" s="453"/>
      <c r="H163" s="453"/>
      <c r="I163" s="453"/>
      <c r="J163" s="453"/>
      <c r="K163" s="453"/>
      <c r="L163" s="453"/>
      <c r="M163" s="422" t="str">
        <f>HYPERLINK("#复数转换成模形式!A100","跳转")</f>
        <v>跳转</v>
      </c>
    </row>
    <row r="164" spans="1:13" ht="21" customHeight="1">
      <c r="A164" s="429" t="s">
        <v>933</v>
      </c>
      <c r="B164" s="458" t="s">
        <v>934</v>
      </c>
      <c r="C164" s="458"/>
      <c r="D164" s="458"/>
      <c r="E164" s="458"/>
      <c r="F164" s="458"/>
      <c r="G164" s="458"/>
      <c r="H164" s="458"/>
      <c r="I164" s="458"/>
      <c r="J164" s="458"/>
      <c r="K164" s="458"/>
      <c r="L164" s="458"/>
      <c r="M164" s="420" t="str">
        <f>HYPERLINK("#构成和分解复数!A300","跳转")</f>
        <v>跳转</v>
      </c>
    </row>
    <row r="165" spans="1:13" ht="21" customHeight="1">
      <c r="A165" s="421" t="s">
        <v>935</v>
      </c>
      <c r="B165" s="453" t="s">
        <v>936</v>
      </c>
      <c r="C165" s="453"/>
      <c r="D165" s="453"/>
      <c r="E165" s="453"/>
      <c r="F165" s="453"/>
      <c r="G165" s="453"/>
      <c r="H165" s="453"/>
      <c r="I165" s="453"/>
      <c r="J165" s="453"/>
      <c r="K165" s="453"/>
      <c r="L165" s="453"/>
      <c r="M165" s="422" t="str">
        <f>HYPERLINK("#复数的平方根与三角函数!A200","跳转")</f>
        <v>跳转</v>
      </c>
    </row>
    <row r="166" spans="1:13" ht="21" customHeight="1">
      <c r="A166" s="418" t="s">
        <v>937</v>
      </c>
      <c r="B166" s="458" t="s">
        <v>938</v>
      </c>
      <c r="C166" s="458"/>
      <c r="D166" s="458"/>
      <c r="E166" s="458"/>
      <c r="F166" s="458"/>
      <c r="G166" s="458"/>
      <c r="H166" s="458"/>
      <c r="I166" s="458"/>
      <c r="J166" s="458"/>
      <c r="K166" s="458"/>
      <c r="L166" s="458"/>
      <c r="M166" s="420" t="str">
        <f>HYPERLINK("#进行复数的四则运算!A300","跳转")</f>
        <v>跳转</v>
      </c>
    </row>
    <row r="167" spans="1:13" ht="21" customHeight="1">
      <c r="A167" s="421" t="s">
        <v>939</v>
      </c>
      <c r="B167" s="453" t="s">
        <v>940</v>
      </c>
      <c r="C167" s="453"/>
      <c r="D167" s="453"/>
      <c r="E167" s="453"/>
      <c r="F167" s="453"/>
      <c r="G167" s="453"/>
      <c r="H167" s="453"/>
      <c r="I167" s="453"/>
      <c r="J167" s="453"/>
      <c r="K167" s="453"/>
      <c r="L167" s="453"/>
      <c r="M167" s="422" t="str">
        <f>HYPERLINK("#复数的指数函数和幂函数的值!A1","跳转")</f>
        <v>跳转</v>
      </c>
    </row>
    <row r="168" spans="1:13" ht="21" customHeight="1">
      <c r="A168" s="418" t="s">
        <v>941</v>
      </c>
      <c r="B168" s="458" t="s">
        <v>942</v>
      </c>
      <c r="C168" s="458"/>
      <c r="D168" s="458"/>
      <c r="E168" s="458"/>
      <c r="F168" s="458"/>
      <c r="G168" s="458"/>
      <c r="H168" s="458"/>
      <c r="I168" s="458"/>
      <c r="J168" s="458"/>
      <c r="K168" s="458"/>
      <c r="L168" s="458"/>
      <c r="M168" s="420" t="str">
        <f>HYPERLINK("#复数的对数函数值!A1","跳转")</f>
        <v>跳转</v>
      </c>
    </row>
    <row r="169" spans="1:13" ht="21" customHeight="1">
      <c r="A169" s="421" t="s">
        <v>943</v>
      </c>
      <c r="B169" s="453" t="s">
        <v>944</v>
      </c>
      <c r="C169" s="453"/>
      <c r="D169" s="453"/>
      <c r="E169" s="453"/>
      <c r="F169" s="453"/>
      <c r="G169" s="453"/>
      <c r="H169" s="453"/>
      <c r="I169" s="453"/>
      <c r="J169" s="453"/>
      <c r="K169" s="453"/>
      <c r="L169" s="453"/>
      <c r="M169" s="422" t="str">
        <f>HYPERLINK("#复数的对数函数值!A100","跳转")</f>
        <v>跳转</v>
      </c>
    </row>
    <row r="170" spans="1:13" ht="21" customHeight="1">
      <c r="A170" s="418" t="s">
        <v>945</v>
      </c>
      <c r="B170" s="458" t="s">
        <v>946</v>
      </c>
      <c r="C170" s="458"/>
      <c r="D170" s="458"/>
      <c r="E170" s="458"/>
      <c r="F170" s="458"/>
      <c r="G170" s="458"/>
      <c r="H170" s="458"/>
      <c r="I170" s="458"/>
      <c r="J170" s="458"/>
      <c r="K170" s="458"/>
      <c r="L170" s="458"/>
      <c r="M170" s="420" t="str">
        <f>HYPERLINK("#复数的对数函数值!A200","跳转")</f>
        <v>跳转</v>
      </c>
    </row>
    <row r="171" spans="1:13" ht="21" customHeight="1">
      <c r="A171" s="421" t="s">
        <v>947</v>
      </c>
      <c r="B171" s="453" t="s">
        <v>948</v>
      </c>
      <c r="C171" s="453"/>
      <c r="D171" s="453"/>
      <c r="E171" s="453"/>
      <c r="F171" s="453"/>
      <c r="G171" s="453"/>
      <c r="H171" s="453"/>
      <c r="I171" s="453"/>
      <c r="J171" s="453"/>
      <c r="K171" s="453"/>
      <c r="L171" s="453"/>
      <c r="M171" s="422" t="str">
        <f>HYPERLINK("#复数的指数函数和幂函数的值!A100","跳转")</f>
        <v>跳转</v>
      </c>
    </row>
    <row r="172" spans="1:13" ht="21" customHeight="1">
      <c r="A172" s="418" t="s">
        <v>949</v>
      </c>
      <c r="B172" s="458" t="s">
        <v>950</v>
      </c>
      <c r="C172" s="458"/>
      <c r="D172" s="458"/>
      <c r="E172" s="458"/>
      <c r="F172" s="458"/>
      <c r="G172" s="458"/>
      <c r="H172" s="458"/>
      <c r="I172" s="458"/>
      <c r="J172" s="458"/>
      <c r="K172" s="458"/>
      <c r="L172" s="458"/>
      <c r="M172" s="420" t="str">
        <f>HYPERLINK("#进行复数的四则运算!A200","跳转")</f>
        <v>跳转</v>
      </c>
    </row>
    <row r="173" spans="1:13" ht="21" customHeight="1">
      <c r="A173" s="421" t="s">
        <v>951</v>
      </c>
      <c r="B173" s="453" t="s">
        <v>952</v>
      </c>
      <c r="C173" s="453"/>
      <c r="D173" s="453"/>
      <c r="E173" s="453"/>
      <c r="F173" s="453"/>
      <c r="G173" s="453"/>
      <c r="H173" s="453"/>
      <c r="I173" s="453"/>
      <c r="J173" s="453"/>
      <c r="K173" s="453"/>
      <c r="L173" s="453"/>
      <c r="M173" s="422" t="str">
        <f>HYPERLINK("#构成和分解复数!A100","跳转")</f>
        <v>跳转</v>
      </c>
    </row>
    <row r="174" spans="1:13" ht="21" customHeight="1">
      <c r="A174" s="418" t="s">
        <v>953</v>
      </c>
      <c r="B174" s="458" t="s">
        <v>954</v>
      </c>
      <c r="C174" s="458"/>
      <c r="D174" s="458"/>
      <c r="E174" s="458"/>
      <c r="F174" s="458"/>
      <c r="G174" s="458"/>
      <c r="H174" s="458"/>
      <c r="I174" s="458"/>
      <c r="J174" s="458"/>
      <c r="K174" s="458"/>
      <c r="L174" s="458"/>
      <c r="M174" s="420" t="str">
        <f>HYPERLINK("#复数的平方根与三角函数!A100","跳转")</f>
        <v>跳转</v>
      </c>
    </row>
    <row r="175" spans="1:13" ht="21" customHeight="1">
      <c r="A175" s="421" t="s">
        <v>955</v>
      </c>
      <c r="B175" s="453" t="s">
        <v>956</v>
      </c>
      <c r="C175" s="453"/>
      <c r="D175" s="453"/>
      <c r="E175" s="453"/>
      <c r="F175" s="453"/>
      <c r="G175" s="453"/>
      <c r="H175" s="453"/>
      <c r="I175" s="453"/>
      <c r="J175" s="453"/>
      <c r="K175" s="453"/>
      <c r="L175" s="453"/>
      <c r="M175" s="422" t="str">
        <f>HYPERLINK("#复数的平方根与三角函数!A1","跳转")</f>
        <v>跳转</v>
      </c>
    </row>
    <row r="176" spans="1:13" ht="21" customHeight="1">
      <c r="A176" s="418" t="s">
        <v>957</v>
      </c>
      <c r="B176" s="458" t="s">
        <v>958</v>
      </c>
      <c r="C176" s="458"/>
      <c r="D176" s="458"/>
      <c r="E176" s="458"/>
      <c r="F176" s="458"/>
      <c r="G176" s="458"/>
      <c r="H176" s="458"/>
      <c r="I176" s="458"/>
      <c r="J176" s="458"/>
      <c r="K176" s="458"/>
      <c r="L176" s="458"/>
      <c r="M176" s="420" t="str">
        <f>HYPERLINK("#进行复数的四则运算!A1","跳转")</f>
        <v>跳转</v>
      </c>
    </row>
    <row r="177" spans="1:13" ht="21" customHeight="1">
      <c r="A177" s="421" t="s">
        <v>272</v>
      </c>
      <c r="B177" s="453" t="s">
        <v>959</v>
      </c>
      <c r="C177" s="453"/>
      <c r="D177" s="453"/>
      <c r="E177" s="453"/>
      <c r="F177" s="453"/>
      <c r="G177" s="453"/>
      <c r="H177" s="453"/>
      <c r="I177" s="453"/>
      <c r="J177" s="453"/>
      <c r="K177" s="453"/>
      <c r="L177" s="453"/>
      <c r="M177" s="422" t="str">
        <f>HYPERLINK("#INDEX!A1","跳转")</f>
        <v>跳转</v>
      </c>
    </row>
    <row r="178" spans="1:13" ht="21" customHeight="1">
      <c r="A178" s="418" t="s">
        <v>272</v>
      </c>
      <c r="B178" s="458" t="s">
        <v>960</v>
      </c>
      <c r="C178" s="458"/>
      <c r="D178" s="458"/>
      <c r="E178" s="458"/>
      <c r="F178" s="458"/>
      <c r="G178" s="458"/>
      <c r="H178" s="458"/>
      <c r="I178" s="458"/>
      <c r="J178" s="458"/>
      <c r="K178" s="458"/>
      <c r="L178" s="458"/>
      <c r="M178" s="420" t="str">
        <f>HYPERLINK("#INDEX!A1","跳转")</f>
        <v>跳转</v>
      </c>
    </row>
    <row r="179" spans="1:13" ht="21" customHeight="1">
      <c r="A179" s="421" t="s">
        <v>276</v>
      </c>
      <c r="B179" s="453" t="s">
        <v>961</v>
      </c>
      <c r="C179" s="453"/>
      <c r="D179" s="453"/>
      <c r="E179" s="453"/>
      <c r="F179" s="453"/>
      <c r="G179" s="453"/>
      <c r="H179" s="453"/>
      <c r="I179" s="453"/>
      <c r="J179" s="453"/>
      <c r="K179" s="453"/>
      <c r="L179" s="453"/>
      <c r="M179" s="422" t="str">
        <f>HYPERLINK("#INDIRECT与CHOOSE!A1","跳转")</f>
        <v>跳转</v>
      </c>
    </row>
    <row r="180" spans="1:13" ht="21" customHeight="1">
      <c r="A180" s="418" t="s">
        <v>962</v>
      </c>
      <c r="B180" s="458" t="s">
        <v>963</v>
      </c>
      <c r="C180" s="458"/>
      <c r="D180" s="458"/>
      <c r="E180" s="458"/>
      <c r="F180" s="458"/>
      <c r="G180" s="458"/>
      <c r="H180" s="458"/>
      <c r="I180" s="458"/>
      <c r="J180" s="458"/>
      <c r="K180" s="458"/>
      <c r="L180" s="458"/>
      <c r="M180" s="420" t="str">
        <f>HYPERLINK("#获取操作环境的信息!A1","跳转")</f>
        <v>跳转</v>
      </c>
    </row>
    <row r="181" spans="1:13" ht="21" customHeight="1">
      <c r="A181" s="421" t="s">
        <v>116</v>
      </c>
      <c r="B181" s="453" t="s">
        <v>964</v>
      </c>
      <c r="C181" s="453"/>
      <c r="D181" s="453"/>
      <c r="E181" s="453"/>
      <c r="F181" s="453"/>
      <c r="G181" s="453"/>
      <c r="H181" s="453"/>
      <c r="I181" s="453"/>
      <c r="J181" s="453"/>
      <c r="K181" s="453"/>
      <c r="L181" s="453"/>
      <c r="M181" s="422" t="str">
        <f>HYPERLINK("#数值舍入取整!A1","跳转")</f>
        <v>跳转</v>
      </c>
    </row>
    <row r="182" spans="1:13" ht="21" customHeight="1">
      <c r="A182" s="418" t="s">
        <v>473</v>
      </c>
      <c r="B182" s="458" t="s">
        <v>965</v>
      </c>
      <c r="C182" s="458"/>
      <c r="D182" s="458"/>
      <c r="E182" s="458"/>
      <c r="F182" s="458"/>
      <c r="G182" s="458"/>
      <c r="H182" s="458"/>
      <c r="I182" s="458"/>
      <c r="J182" s="458"/>
      <c r="K182" s="458"/>
      <c r="L182" s="458"/>
      <c r="M182" s="420" t="str">
        <f>HYPERLINK("#使用回归直曲线或指数回归进行的预测!A300","跳转")</f>
        <v>跳转</v>
      </c>
    </row>
    <row r="183" spans="1:13" ht="21" customHeight="1">
      <c r="A183" s="421" t="s">
        <v>599</v>
      </c>
      <c r="B183" s="453" t="s">
        <v>966</v>
      </c>
      <c r="C183" s="453"/>
      <c r="D183" s="453"/>
      <c r="E183" s="453"/>
      <c r="F183" s="453"/>
      <c r="G183" s="453"/>
      <c r="H183" s="453"/>
      <c r="I183" s="453"/>
      <c r="J183" s="453"/>
      <c r="K183" s="453"/>
      <c r="L183" s="453"/>
      <c r="M183" s="422" t="str">
        <f>HYPERLINK("#折价证券!A100","跳转")</f>
        <v>跳转</v>
      </c>
    </row>
    <row r="184" spans="1:13" ht="21" customHeight="1">
      <c r="A184" s="418" t="s">
        <v>967</v>
      </c>
      <c r="B184" s="458" t="s">
        <v>968</v>
      </c>
      <c r="C184" s="458"/>
      <c r="D184" s="458"/>
      <c r="E184" s="458"/>
      <c r="F184" s="458"/>
      <c r="G184" s="458"/>
      <c r="H184" s="458"/>
      <c r="I184" s="458"/>
      <c r="J184" s="458"/>
      <c r="K184" s="458"/>
      <c r="L184" s="458"/>
      <c r="M184" s="420" t="str">
        <f>HYPERLINK("#贷款部分!A300","跳转")</f>
        <v>跳转</v>
      </c>
    </row>
    <row r="185" spans="1:13" ht="21" customHeight="1">
      <c r="A185" s="421" t="s">
        <v>969</v>
      </c>
      <c r="B185" s="453" t="s">
        <v>970</v>
      </c>
      <c r="C185" s="453"/>
      <c r="D185" s="453"/>
      <c r="E185" s="453"/>
      <c r="F185" s="453"/>
      <c r="G185" s="453"/>
      <c r="H185" s="453"/>
      <c r="I185" s="453"/>
      <c r="J185" s="453"/>
      <c r="K185" s="453"/>
      <c r="L185" s="453"/>
      <c r="M185" s="422" t="str">
        <f>HYPERLINK("#内部利益率!A1","跳转")</f>
        <v>跳转</v>
      </c>
    </row>
    <row r="186" spans="1:13" ht="21" customHeight="1">
      <c r="A186" s="418" t="s">
        <v>971</v>
      </c>
      <c r="B186" s="458" t="s">
        <v>972</v>
      </c>
      <c r="C186" s="458"/>
      <c r="D186" s="458"/>
      <c r="E186" s="458"/>
      <c r="F186" s="458"/>
      <c r="G186" s="458"/>
      <c r="H186" s="458"/>
      <c r="I186" s="458"/>
      <c r="J186" s="458"/>
      <c r="K186" s="458"/>
      <c r="L186" s="458"/>
      <c r="M186" s="420" t="str">
        <f>HYPERLINK("#查看单元格内容!A1","跳转")</f>
        <v>跳转</v>
      </c>
    </row>
    <row r="187" spans="1:13" ht="21" customHeight="1">
      <c r="A187" s="421" t="s">
        <v>671</v>
      </c>
      <c r="B187" s="453" t="s">
        <v>973</v>
      </c>
      <c r="C187" s="453"/>
      <c r="D187" s="453"/>
      <c r="E187" s="453"/>
      <c r="F187" s="453"/>
      <c r="G187" s="453"/>
      <c r="H187" s="453"/>
      <c r="I187" s="453"/>
      <c r="J187" s="453"/>
      <c r="K187" s="453"/>
      <c r="L187" s="453"/>
      <c r="M187" s="422" t="str">
        <f>HYPERLINK("#查看单元格内容!A200","跳转")</f>
        <v>跳转</v>
      </c>
    </row>
    <row r="188" spans="1:13" ht="21" customHeight="1">
      <c r="A188" s="418" t="s">
        <v>974</v>
      </c>
      <c r="B188" s="458" t="s">
        <v>975</v>
      </c>
      <c r="C188" s="458"/>
      <c r="D188" s="458"/>
      <c r="E188" s="458"/>
      <c r="F188" s="458"/>
      <c r="G188" s="458"/>
      <c r="H188" s="458"/>
      <c r="I188" s="458"/>
      <c r="J188" s="458"/>
      <c r="K188" s="458"/>
      <c r="L188" s="458"/>
      <c r="M188" s="420" t="str">
        <f>HYPERLINK("#查看单元格内容!A100","跳转")</f>
        <v>跳转</v>
      </c>
    </row>
    <row r="189" spans="1:13" ht="21" customHeight="1">
      <c r="A189" s="421" t="s">
        <v>976</v>
      </c>
      <c r="B189" s="453" t="s">
        <v>977</v>
      </c>
      <c r="C189" s="453"/>
      <c r="D189" s="453"/>
      <c r="E189" s="453"/>
      <c r="F189" s="453"/>
      <c r="G189" s="453"/>
      <c r="H189" s="453"/>
      <c r="I189" s="453"/>
      <c r="J189" s="453"/>
      <c r="K189" s="453"/>
      <c r="L189" s="453"/>
      <c r="M189" s="422" t="str">
        <f>HYPERLINK("#查看单元格内容!A400","跳转")</f>
        <v>跳转</v>
      </c>
    </row>
    <row r="190" spans="1:13" ht="21" customHeight="1">
      <c r="A190" s="418" t="s">
        <v>978</v>
      </c>
      <c r="B190" s="458" t="s">
        <v>979</v>
      </c>
      <c r="C190" s="458"/>
      <c r="D190" s="458"/>
      <c r="E190" s="458"/>
      <c r="F190" s="458"/>
      <c r="G190" s="458"/>
      <c r="H190" s="458"/>
      <c r="I190" s="458"/>
      <c r="J190" s="458"/>
      <c r="K190" s="458"/>
      <c r="L190" s="458"/>
      <c r="M190" s="420" t="str">
        <f>HYPERLINK("#查看单元格内容!A600","跳转")</f>
        <v>跳转</v>
      </c>
    </row>
    <row r="191" spans="1:13" ht="21" customHeight="1">
      <c r="A191" s="421" t="s">
        <v>980</v>
      </c>
      <c r="B191" s="453" t="s">
        <v>981</v>
      </c>
      <c r="C191" s="453"/>
      <c r="D191" s="453"/>
      <c r="E191" s="453"/>
      <c r="F191" s="453"/>
      <c r="G191" s="453"/>
      <c r="H191" s="453"/>
      <c r="I191" s="453"/>
      <c r="J191" s="453"/>
      <c r="K191" s="453"/>
      <c r="L191" s="453"/>
      <c r="M191" s="422" t="str">
        <f>HYPERLINK("#查看单元格内容!A300","跳转")</f>
        <v>跳转</v>
      </c>
    </row>
    <row r="192" spans="1:13" ht="21" customHeight="1">
      <c r="A192" s="418" t="s">
        <v>982</v>
      </c>
      <c r="B192" s="458" t="s">
        <v>983</v>
      </c>
      <c r="C192" s="458"/>
      <c r="D192" s="458"/>
      <c r="E192" s="458"/>
      <c r="F192" s="458"/>
      <c r="G192" s="458"/>
      <c r="H192" s="458"/>
      <c r="I192" s="458"/>
      <c r="J192" s="458"/>
      <c r="K192" s="458"/>
      <c r="L192" s="458"/>
      <c r="M192" s="420" t="str">
        <f>HYPERLINK("#查看单元格内容!A800","跳转")</f>
        <v>跳转</v>
      </c>
    </row>
    <row r="193" spans="1:13" ht="21" customHeight="1">
      <c r="A193" s="421" t="s">
        <v>984</v>
      </c>
      <c r="B193" s="453" t="s">
        <v>985</v>
      </c>
      <c r="C193" s="453"/>
      <c r="D193" s="453"/>
      <c r="E193" s="453"/>
      <c r="F193" s="453"/>
      <c r="G193" s="453"/>
      <c r="H193" s="453"/>
      <c r="I193" s="453"/>
      <c r="J193" s="453"/>
      <c r="K193" s="453"/>
      <c r="L193" s="453"/>
      <c r="M193" s="422" t="str">
        <f>HYPERLINK("#查看单元格内容!A900","跳转")</f>
        <v>跳转</v>
      </c>
    </row>
    <row r="194" spans="1:13" ht="21" customHeight="1">
      <c r="A194" s="418" t="s">
        <v>986</v>
      </c>
      <c r="B194" s="458" t="s">
        <v>987</v>
      </c>
      <c r="C194" s="458"/>
      <c r="D194" s="458"/>
      <c r="E194" s="458"/>
      <c r="F194" s="458"/>
      <c r="G194" s="458"/>
      <c r="H194" s="458"/>
      <c r="I194" s="458"/>
      <c r="J194" s="458"/>
      <c r="K194" s="458"/>
      <c r="L194" s="458"/>
      <c r="M194" s="420" t="str">
        <f>HYPERLINK("#查看单元格内容!A500","跳转")</f>
        <v>跳转</v>
      </c>
    </row>
    <row r="195" spans="1:13" ht="21" customHeight="1">
      <c r="A195" s="421" t="s">
        <v>988</v>
      </c>
      <c r="B195" s="453" t="s">
        <v>989</v>
      </c>
      <c r="C195" s="453"/>
      <c r="D195" s="453"/>
      <c r="E195" s="453"/>
      <c r="F195" s="453"/>
      <c r="G195" s="453"/>
      <c r="H195" s="453"/>
      <c r="I195" s="453"/>
      <c r="J195" s="453"/>
      <c r="K195" s="453"/>
      <c r="L195" s="453"/>
      <c r="M195" s="422" t="str">
        <f>HYPERLINK("#贷款部分!A500","跳转")</f>
        <v>跳转</v>
      </c>
    </row>
    <row r="196" spans="1:13" ht="21" customHeight="1">
      <c r="A196" s="418" t="s">
        <v>990</v>
      </c>
      <c r="B196" s="458" t="s">
        <v>991</v>
      </c>
      <c r="C196" s="458"/>
      <c r="D196" s="458"/>
      <c r="E196" s="458"/>
      <c r="F196" s="458"/>
      <c r="G196" s="458"/>
      <c r="H196" s="458"/>
      <c r="I196" s="458"/>
      <c r="J196" s="458"/>
      <c r="K196" s="458"/>
      <c r="L196" s="458"/>
      <c r="M196" s="420" t="str">
        <f>HYPERLINK("#查看单元格内容!A1000","跳转")</f>
        <v>跳转</v>
      </c>
    </row>
    <row r="197" spans="1:13" ht="21" customHeight="1">
      <c r="A197" s="421" t="s">
        <v>992</v>
      </c>
      <c r="B197" s="459" t="s">
        <v>993</v>
      </c>
      <c r="C197" s="459"/>
      <c r="D197" s="459"/>
      <c r="E197" s="459"/>
      <c r="F197" s="459"/>
      <c r="G197" s="459"/>
      <c r="H197" s="459"/>
      <c r="I197" s="459"/>
      <c r="J197" s="459"/>
      <c r="K197" s="459"/>
      <c r="L197" s="459"/>
      <c r="M197" s="430" t="str">
        <f>HYPERLINK("#查看单元格内容!A700","跳转")</f>
        <v>跳转</v>
      </c>
    </row>
    <row r="198" spans="1:13" ht="21" customHeight="1">
      <c r="A198" s="431"/>
      <c r="B198" s="455"/>
      <c r="C198" s="456"/>
      <c r="D198" s="456"/>
      <c r="E198" s="456"/>
      <c r="F198" s="456"/>
      <c r="G198" s="456"/>
      <c r="H198" s="456"/>
      <c r="I198" s="456"/>
      <c r="J198" s="456"/>
      <c r="K198" s="456"/>
      <c r="L198" s="456"/>
      <c r="M198" s="456"/>
    </row>
    <row r="199" spans="1:13" ht="21" customHeight="1">
      <c r="A199" s="416" t="s">
        <v>994</v>
      </c>
      <c r="B199" s="417" t="str">
        <f>HYPERLINK("#A3","跳转首行")</f>
        <v>跳转首行</v>
      </c>
      <c r="C199" s="457" t="s">
        <v>720</v>
      </c>
      <c r="D199" s="457"/>
      <c r="E199" s="457"/>
      <c r="F199" s="457"/>
      <c r="G199" s="457"/>
      <c r="H199" s="457"/>
      <c r="I199" s="457"/>
      <c r="J199" s="457"/>
      <c r="K199" s="457"/>
      <c r="L199" s="457"/>
      <c r="M199" s="457"/>
    </row>
    <row r="200" spans="1:13" ht="21" customHeight="1">
      <c r="A200" s="418"/>
      <c r="B200" s="454"/>
      <c r="C200" s="454"/>
      <c r="D200" s="454"/>
      <c r="E200" s="454"/>
      <c r="F200" s="454"/>
      <c r="G200" s="454"/>
      <c r="H200" s="454"/>
      <c r="I200" s="454"/>
      <c r="J200" s="454"/>
      <c r="K200" s="454"/>
      <c r="L200" s="454"/>
      <c r="M200" s="436"/>
    </row>
    <row r="201" spans="1:13" ht="21" customHeight="1">
      <c r="A201" s="62"/>
      <c r="B201" s="455"/>
      <c r="C201" s="456"/>
      <c r="D201" s="456"/>
      <c r="E201" s="456"/>
      <c r="F201" s="456"/>
      <c r="G201" s="456"/>
      <c r="H201" s="456"/>
      <c r="I201" s="456"/>
      <c r="J201" s="456"/>
      <c r="K201" s="456"/>
      <c r="L201" s="456"/>
      <c r="M201" s="456"/>
    </row>
    <row r="202" spans="1:13" ht="21" customHeight="1">
      <c r="A202" s="416" t="s">
        <v>995</v>
      </c>
      <c r="B202" s="417" t="str">
        <f>HYPERLINK("#A3","跳转首行")</f>
        <v>跳转首行</v>
      </c>
      <c r="C202" s="457" t="s">
        <v>720</v>
      </c>
      <c r="D202" s="457"/>
      <c r="E202" s="457"/>
      <c r="F202" s="457"/>
      <c r="G202" s="457"/>
      <c r="H202" s="457"/>
      <c r="I202" s="457"/>
      <c r="J202" s="457"/>
      <c r="K202" s="457"/>
      <c r="L202" s="457"/>
      <c r="M202" s="457"/>
    </row>
    <row r="203" spans="1:13" ht="21" customHeight="1">
      <c r="A203" s="418" t="s">
        <v>462</v>
      </c>
      <c r="B203" s="454" t="s">
        <v>996</v>
      </c>
      <c r="C203" s="454"/>
      <c r="D203" s="454"/>
      <c r="E203" s="454"/>
      <c r="F203" s="454"/>
      <c r="G203" s="454"/>
      <c r="H203" s="454"/>
      <c r="I203" s="454"/>
      <c r="J203" s="454"/>
      <c r="K203" s="454"/>
      <c r="L203" s="454"/>
      <c r="M203" s="423" t="str">
        <f>HYPERLINK("#数据的标准化与比率和偏斜度!A100","跳转")</f>
        <v>跳转</v>
      </c>
    </row>
    <row r="204" spans="1:13" ht="21" customHeight="1">
      <c r="A204" s="62"/>
      <c r="B204" s="455"/>
      <c r="C204" s="456"/>
      <c r="D204" s="456"/>
      <c r="E204" s="456"/>
      <c r="F204" s="456"/>
      <c r="G204" s="456"/>
      <c r="H204" s="456"/>
      <c r="I204" s="456"/>
      <c r="J204" s="456"/>
      <c r="K204" s="456"/>
      <c r="L204" s="456"/>
      <c r="M204" s="456"/>
    </row>
    <row r="205" spans="1:13" ht="21" customHeight="1">
      <c r="A205" s="416" t="s">
        <v>997</v>
      </c>
      <c r="B205" s="417" t="str">
        <f>HYPERLINK("#A3","跳转首行")</f>
        <v>跳转首行</v>
      </c>
      <c r="C205" s="457" t="s">
        <v>720</v>
      </c>
      <c r="D205" s="457"/>
      <c r="E205" s="457"/>
      <c r="F205" s="457"/>
      <c r="G205" s="457"/>
      <c r="H205" s="457"/>
      <c r="I205" s="457"/>
      <c r="J205" s="457"/>
      <c r="K205" s="457"/>
      <c r="L205" s="457"/>
      <c r="M205" s="457"/>
    </row>
    <row r="206" spans="1:13" ht="21" customHeight="1">
      <c r="A206" s="418" t="s">
        <v>422</v>
      </c>
      <c r="B206" s="458" t="s">
        <v>998</v>
      </c>
      <c r="C206" s="458"/>
      <c r="D206" s="458"/>
      <c r="E206" s="458"/>
      <c r="F206" s="458"/>
      <c r="G206" s="458"/>
      <c r="H206" s="458"/>
      <c r="I206" s="458"/>
      <c r="J206" s="458"/>
      <c r="K206" s="458"/>
      <c r="L206" s="458"/>
      <c r="M206" s="420" t="str">
        <f>HYPERLINK("#计算位置!A1","跳转")</f>
        <v>跳转</v>
      </c>
    </row>
    <row r="207" spans="1:13" ht="21" customHeight="1">
      <c r="A207" s="421" t="s">
        <v>144</v>
      </c>
      <c r="B207" s="453" t="s">
        <v>999</v>
      </c>
      <c r="C207" s="453"/>
      <c r="D207" s="453"/>
      <c r="E207" s="453"/>
      <c r="F207" s="453"/>
      <c r="G207" s="453"/>
      <c r="H207" s="453"/>
      <c r="I207" s="453"/>
      <c r="J207" s="453"/>
      <c r="K207" s="453"/>
      <c r="L207" s="453"/>
      <c r="M207" s="422" t="str">
        <f>HYPERLINK("#最大公约数或最小公倍数!A100","跳转")</f>
        <v>跳转</v>
      </c>
    </row>
    <row r="208" spans="1:13" ht="21" customHeight="1">
      <c r="A208" s="418" t="s">
        <v>326</v>
      </c>
      <c r="B208" s="458" t="s">
        <v>1000</v>
      </c>
      <c r="C208" s="458"/>
      <c r="D208" s="458"/>
      <c r="E208" s="458"/>
      <c r="F208" s="458"/>
      <c r="G208" s="458"/>
      <c r="H208" s="458"/>
      <c r="I208" s="458"/>
      <c r="J208" s="458"/>
      <c r="K208" s="458"/>
      <c r="L208" s="458"/>
      <c r="M208" s="420" t="str">
        <f>HYPERLINK("#提取文本的一部分!A1","跳转")</f>
        <v>跳转</v>
      </c>
    </row>
    <row r="209" spans="1:13" ht="21" customHeight="1">
      <c r="A209" s="421" t="s">
        <v>328</v>
      </c>
      <c r="B209" s="453"/>
      <c r="C209" s="453"/>
      <c r="D209" s="453"/>
      <c r="E209" s="453"/>
      <c r="F209" s="453"/>
      <c r="G209" s="453"/>
      <c r="H209" s="453"/>
      <c r="I209" s="453"/>
      <c r="J209" s="453"/>
      <c r="K209" s="453"/>
      <c r="L209" s="453"/>
      <c r="M209" s="422" t="str">
        <f>HYPERLINK("#提取文本的一部分!A100","跳转")</f>
        <v>跳转</v>
      </c>
    </row>
    <row r="210" spans="1:13" ht="21" customHeight="1">
      <c r="A210" s="418" t="s">
        <v>319</v>
      </c>
      <c r="B210" s="458" t="s">
        <v>1001</v>
      </c>
      <c r="C210" s="458"/>
      <c r="D210" s="458"/>
      <c r="E210" s="458"/>
      <c r="F210" s="458"/>
      <c r="G210" s="458"/>
      <c r="H210" s="458"/>
      <c r="I210" s="458"/>
      <c r="J210" s="458"/>
      <c r="K210" s="458"/>
      <c r="L210" s="458"/>
      <c r="M210" s="420" t="str">
        <f>HYPERLINK("#文本转换计算合并!A100","跳转")</f>
        <v>跳转</v>
      </c>
    </row>
    <row r="211" spans="1:13" ht="21" customHeight="1">
      <c r="A211" s="421" t="s">
        <v>320</v>
      </c>
      <c r="B211" s="453"/>
      <c r="C211" s="453"/>
      <c r="D211" s="453"/>
      <c r="E211" s="453"/>
      <c r="F211" s="453"/>
      <c r="G211" s="453"/>
      <c r="H211" s="453"/>
      <c r="I211" s="453"/>
      <c r="J211" s="453"/>
      <c r="K211" s="453"/>
      <c r="L211" s="453"/>
      <c r="M211" s="422" t="str">
        <f>HYPERLINK("#文本转换计算合并!A200","跳转")</f>
        <v>跳转</v>
      </c>
    </row>
    <row r="212" spans="1:13" ht="21" customHeight="1">
      <c r="A212" s="418" t="s">
        <v>475</v>
      </c>
      <c r="B212" s="458" t="s">
        <v>1002</v>
      </c>
      <c r="C212" s="458"/>
      <c r="D212" s="458"/>
      <c r="E212" s="458"/>
      <c r="F212" s="458"/>
      <c r="G212" s="458"/>
      <c r="H212" s="458"/>
      <c r="I212" s="458"/>
      <c r="J212" s="458"/>
      <c r="K212" s="458"/>
      <c r="L212" s="458"/>
      <c r="M212" s="420" t="str">
        <f>HYPERLINK("#使用回归直曲线或指数回归进行的预测!A400","跳转")</f>
        <v>跳转</v>
      </c>
    </row>
    <row r="213" spans="1:13" ht="21" customHeight="1">
      <c r="A213" s="421" t="s">
        <v>183</v>
      </c>
      <c r="B213" s="453" t="s">
        <v>1003</v>
      </c>
      <c r="C213" s="453"/>
      <c r="D213" s="453"/>
      <c r="E213" s="453"/>
      <c r="F213" s="453"/>
      <c r="G213" s="453"/>
      <c r="H213" s="453"/>
      <c r="I213" s="453"/>
      <c r="J213" s="453"/>
      <c r="K213" s="453"/>
      <c r="L213" s="453"/>
      <c r="M213" s="422" t="str">
        <f>HYPERLINK("#指数与对数函数!A400","跳转")</f>
        <v>跳转</v>
      </c>
    </row>
    <row r="214" spans="1:13" ht="21" customHeight="1">
      <c r="A214" s="418" t="s">
        <v>179</v>
      </c>
      <c r="B214" s="458" t="s">
        <v>1004</v>
      </c>
      <c r="C214" s="458"/>
      <c r="D214" s="458"/>
      <c r="E214" s="458"/>
      <c r="F214" s="458"/>
      <c r="G214" s="458"/>
      <c r="H214" s="458"/>
      <c r="I214" s="458"/>
      <c r="J214" s="458"/>
      <c r="K214" s="458"/>
      <c r="L214" s="458"/>
      <c r="M214" s="420" t="str">
        <f>HYPERLINK("#指数与对数函数!A200","跳转")</f>
        <v>跳转</v>
      </c>
    </row>
    <row r="215" spans="1:13" ht="21" customHeight="1">
      <c r="A215" s="421" t="s">
        <v>181</v>
      </c>
      <c r="B215" s="453" t="s">
        <v>1005</v>
      </c>
      <c r="C215" s="453"/>
      <c r="D215" s="453"/>
      <c r="E215" s="453"/>
      <c r="F215" s="453"/>
      <c r="G215" s="453"/>
      <c r="H215" s="453"/>
      <c r="I215" s="453"/>
      <c r="J215" s="453"/>
      <c r="K215" s="453"/>
      <c r="L215" s="453"/>
      <c r="M215" s="422" t="str">
        <f>HYPERLINK("#指数与对数函数!A300","跳转")</f>
        <v>跳转</v>
      </c>
    </row>
    <row r="216" spans="1:13" ht="21" customHeight="1">
      <c r="A216" s="418" t="s">
        <v>484</v>
      </c>
      <c r="B216" s="458" t="s">
        <v>1006</v>
      </c>
      <c r="C216" s="458"/>
      <c r="D216" s="458"/>
      <c r="E216" s="458"/>
      <c r="F216" s="458"/>
      <c r="G216" s="458"/>
      <c r="H216" s="458"/>
      <c r="I216" s="458"/>
      <c r="J216" s="458"/>
      <c r="K216" s="458"/>
      <c r="L216" s="458"/>
      <c r="M216" s="420" t="str">
        <f>HYPERLINK("#使用回归直曲线或指数回归进行的预测!A800","跳转")</f>
        <v>跳转</v>
      </c>
    </row>
    <row r="217" spans="1:13" ht="21" customHeight="1">
      <c r="A217" s="421" t="s">
        <v>1007</v>
      </c>
      <c r="B217" s="453" t="s">
        <v>1008</v>
      </c>
      <c r="C217" s="453"/>
      <c r="D217" s="453"/>
      <c r="E217" s="453"/>
      <c r="F217" s="453"/>
      <c r="G217" s="453"/>
      <c r="H217" s="453"/>
      <c r="I217" s="453"/>
      <c r="J217" s="453"/>
      <c r="K217" s="453"/>
      <c r="L217" s="453"/>
      <c r="M217" s="422" t="str">
        <f>HYPERLINK("#对数正态分布的累积概率!A100","跳转")</f>
        <v>跳转</v>
      </c>
    </row>
    <row r="218" spans="1:13" ht="21" customHeight="1">
      <c r="A218" s="429" t="s">
        <v>1009</v>
      </c>
      <c r="B218" s="458" t="s">
        <v>1010</v>
      </c>
      <c r="C218" s="458"/>
      <c r="D218" s="458"/>
      <c r="E218" s="458"/>
      <c r="F218" s="458"/>
      <c r="G218" s="458"/>
      <c r="H218" s="458"/>
      <c r="I218" s="458"/>
      <c r="J218" s="458"/>
      <c r="K218" s="458"/>
      <c r="L218" s="458"/>
      <c r="M218" s="420" t="str">
        <f>HYPERLINK("#对数正态分布的累积概率!A1","跳转")</f>
        <v>跳转</v>
      </c>
    </row>
    <row r="219" spans="1:13" ht="21" customHeight="1">
      <c r="A219" s="421" t="s">
        <v>264</v>
      </c>
      <c r="B219" s="453" t="s">
        <v>960</v>
      </c>
      <c r="C219" s="453"/>
      <c r="D219" s="453"/>
      <c r="E219" s="453"/>
      <c r="F219" s="453"/>
      <c r="G219" s="453"/>
      <c r="H219" s="453"/>
      <c r="I219" s="453"/>
      <c r="J219" s="453"/>
      <c r="K219" s="453"/>
      <c r="L219" s="453"/>
      <c r="M219" s="422" t="str">
        <f>HYPERLINK("#"&amp;A219&amp;"!A1","跳转")</f>
        <v>跳转</v>
      </c>
    </row>
    <row r="220" spans="1:13" ht="21" customHeight="1">
      <c r="A220" s="418" t="s">
        <v>264</v>
      </c>
      <c r="B220" s="458" t="s">
        <v>1011</v>
      </c>
      <c r="C220" s="458"/>
      <c r="D220" s="458"/>
      <c r="E220" s="458"/>
      <c r="F220" s="458"/>
      <c r="G220" s="458"/>
      <c r="H220" s="458"/>
      <c r="I220" s="458"/>
      <c r="J220" s="458"/>
      <c r="K220" s="458"/>
      <c r="L220" s="458"/>
      <c r="M220" s="420" t="str">
        <f>HYPERLINK("#"&amp;A220&amp;"!A1","跳转")</f>
        <v>跳转</v>
      </c>
    </row>
    <row r="221" spans="1:13" ht="21" customHeight="1">
      <c r="A221" s="421" t="s">
        <v>311</v>
      </c>
      <c r="B221" s="459" t="s">
        <v>1012</v>
      </c>
      <c r="C221" s="459"/>
      <c r="D221" s="459"/>
      <c r="E221" s="459"/>
      <c r="F221" s="459"/>
      <c r="G221" s="459"/>
      <c r="H221" s="459"/>
      <c r="I221" s="459"/>
      <c r="J221" s="459"/>
      <c r="K221" s="459"/>
      <c r="L221" s="459"/>
      <c r="M221" s="430" t="str">
        <f>HYPERLINK("#大小写字母转换!A100","跳转")</f>
        <v>跳转</v>
      </c>
    </row>
    <row r="222" spans="1:13" ht="21" customHeight="1">
      <c r="A222" s="431"/>
      <c r="B222" s="455"/>
      <c r="C222" s="456"/>
      <c r="D222" s="456"/>
      <c r="E222" s="456"/>
      <c r="F222" s="456"/>
      <c r="G222" s="456"/>
      <c r="H222" s="456"/>
      <c r="I222" s="456"/>
      <c r="J222" s="456"/>
      <c r="K222" s="456"/>
      <c r="L222" s="456"/>
      <c r="M222" s="456"/>
    </row>
    <row r="223" spans="1:13" ht="21" customHeight="1">
      <c r="A223" s="416" t="s">
        <v>1013</v>
      </c>
      <c r="B223" s="417" t="str">
        <f>HYPERLINK("#A3","跳转首行")</f>
        <v>跳转首行</v>
      </c>
      <c r="C223" s="457" t="s">
        <v>720</v>
      </c>
      <c r="D223" s="457"/>
      <c r="E223" s="457"/>
      <c r="F223" s="457"/>
      <c r="G223" s="457"/>
      <c r="H223" s="457"/>
      <c r="I223" s="457"/>
      <c r="J223" s="457"/>
      <c r="K223" s="457"/>
      <c r="L223" s="457"/>
      <c r="M223" s="457"/>
    </row>
    <row r="224" spans="1:13" ht="21" customHeight="1">
      <c r="A224" s="418" t="s">
        <v>268</v>
      </c>
      <c r="B224" s="458" t="s">
        <v>1014</v>
      </c>
      <c r="C224" s="458"/>
      <c r="D224" s="458"/>
      <c r="E224" s="458"/>
      <c r="F224" s="458"/>
      <c r="G224" s="458"/>
      <c r="H224" s="458"/>
      <c r="I224" s="458"/>
      <c r="J224" s="458"/>
      <c r="K224" s="458"/>
      <c r="L224" s="458"/>
      <c r="M224" s="420" t="str">
        <f>HYPERLINK("#MATCH!A1","跳转")</f>
        <v>跳转</v>
      </c>
    </row>
    <row r="225" spans="1:13" ht="21" customHeight="1">
      <c r="A225" s="421" t="s">
        <v>413</v>
      </c>
      <c r="B225" s="453" t="s">
        <v>1015</v>
      </c>
      <c r="C225" s="453"/>
      <c r="D225" s="453"/>
      <c r="E225" s="453"/>
      <c r="F225" s="453"/>
      <c r="G225" s="453"/>
      <c r="H225" s="453"/>
      <c r="I225" s="453"/>
      <c r="J225" s="453"/>
      <c r="K225" s="453"/>
      <c r="L225" s="453"/>
      <c r="M225" s="422" t="str">
        <f>HYPERLINK("#最大值和最小值!A1","跳转")</f>
        <v>跳转</v>
      </c>
    </row>
    <row r="226" spans="1:13" ht="21" customHeight="1">
      <c r="A226" s="418" t="s">
        <v>415</v>
      </c>
      <c r="B226" s="458" t="s">
        <v>1016</v>
      </c>
      <c r="C226" s="458"/>
      <c r="D226" s="458"/>
      <c r="E226" s="458"/>
      <c r="F226" s="458"/>
      <c r="G226" s="458"/>
      <c r="H226" s="458"/>
      <c r="I226" s="458"/>
      <c r="J226" s="458"/>
      <c r="K226" s="458"/>
      <c r="L226" s="458"/>
      <c r="M226" s="420" t="str">
        <f>HYPERLINK("#最大值和最小值!A100","跳转")</f>
        <v>跳转</v>
      </c>
    </row>
    <row r="227" spans="1:13" ht="21" customHeight="1">
      <c r="A227" s="421" t="s">
        <v>231</v>
      </c>
      <c r="B227" s="453" t="s">
        <v>1017</v>
      </c>
      <c r="C227" s="453"/>
      <c r="D227" s="453"/>
      <c r="E227" s="453"/>
      <c r="F227" s="453"/>
      <c r="G227" s="453"/>
      <c r="H227" s="453"/>
      <c r="I227" s="453"/>
      <c r="J227" s="453"/>
      <c r="K227" s="453"/>
      <c r="L227" s="453"/>
      <c r="M227" s="422" t="str">
        <f>HYPERLINK("#计算矩阵!A1","跳转")</f>
        <v>跳转</v>
      </c>
    </row>
    <row r="228" spans="1:13" ht="21" customHeight="1">
      <c r="A228" s="418" t="s">
        <v>1018</v>
      </c>
      <c r="B228" s="458" t="s">
        <v>1019</v>
      </c>
      <c r="C228" s="458"/>
      <c r="D228" s="458"/>
      <c r="E228" s="458"/>
      <c r="F228" s="458"/>
      <c r="G228" s="458"/>
      <c r="H228" s="458"/>
      <c r="I228" s="458"/>
      <c r="J228" s="458"/>
      <c r="K228" s="458"/>
      <c r="L228" s="458"/>
      <c r="M228" s="420" t="str">
        <f>HYPERLINK("#定期付息证券的修正期限!A100","跳转")</f>
        <v>跳转</v>
      </c>
    </row>
    <row r="229" spans="1:13" ht="21" customHeight="1">
      <c r="A229" s="421" t="s">
        <v>408</v>
      </c>
      <c r="B229" s="453" t="s">
        <v>1020</v>
      </c>
      <c r="C229" s="453"/>
      <c r="D229" s="453"/>
      <c r="E229" s="453"/>
      <c r="F229" s="453"/>
      <c r="G229" s="453"/>
      <c r="H229" s="453"/>
      <c r="I229" s="453"/>
      <c r="J229" s="453"/>
      <c r="K229" s="453"/>
      <c r="L229" s="453"/>
      <c r="M229" s="422" t="str">
        <f>HYPERLINK("#中位数和众数!A1","跳转")</f>
        <v>跳转</v>
      </c>
    </row>
    <row r="230" spans="1:13" ht="21" customHeight="1">
      <c r="A230" s="418" t="s">
        <v>333</v>
      </c>
      <c r="B230" s="458" t="s">
        <v>1021</v>
      </c>
      <c r="C230" s="458"/>
      <c r="D230" s="458"/>
      <c r="E230" s="458"/>
      <c r="F230" s="458"/>
      <c r="G230" s="458"/>
      <c r="H230" s="458"/>
      <c r="I230" s="458"/>
      <c r="J230" s="458"/>
      <c r="K230" s="458"/>
      <c r="L230" s="458"/>
      <c r="M230" s="420" t="str">
        <f>HYPERLINK("#提取文本的一部分!A400","跳转")</f>
        <v>跳转</v>
      </c>
    </row>
    <row r="231" spans="1:13" ht="21" customHeight="1">
      <c r="A231" s="421" t="s">
        <v>335</v>
      </c>
      <c r="B231" s="453"/>
      <c r="C231" s="453"/>
      <c r="D231" s="453"/>
      <c r="E231" s="453"/>
      <c r="F231" s="453"/>
      <c r="G231" s="453"/>
      <c r="H231" s="453"/>
      <c r="I231" s="453"/>
      <c r="J231" s="453"/>
      <c r="K231" s="453"/>
      <c r="L231" s="453"/>
      <c r="M231" s="422" t="str">
        <f>HYPERLINK("#提取文本的一部分!A500","跳转")</f>
        <v>跳转</v>
      </c>
    </row>
    <row r="232" spans="1:13" ht="21" customHeight="1">
      <c r="A232" s="418" t="s">
        <v>417</v>
      </c>
      <c r="B232" s="458" t="s">
        <v>1022</v>
      </c>
      <c r="C232" s="458"/>
      <c r="D232" s="458"/>
      <c r="E232" s="458"/>
      <c r="F232" s="458"/>
      <c r="G232" s="458"/>
      <c r="H232" s="458"/>
      <c r="I232" s="458"/>
      <c r="J232" s="458"/>
      <c r="K232" s="458"/>
      <c r="L232" s="458"/>
      <c r="M232" s="420" t="str">
        <f>HYPERLINK("#最大值和最小值!A200","跳转")</f>
        <v>跳转</v>
      </c>
    </row>
    <row r="233" spans="1:13" ht="21" customHeight="1">
      <c r="A233" s="421" t="s">
        <v>419</v>
      </c>
      <c r="B233" s="453" t="s">
        <v>1023</v>
      </c>
      <c r="C233" s="453"/>
      <c r="D233" s="453"/>
      <c r="E233" s="453"/>
      <c r="F233" s="453"/>
      <c r="G233" s="453"/>
      <c r="H233" s="453"/>
      <c r="I233" s="453"/>
      <c r="J233" s="453"/>
      <c r="K233" s="453"/>
      <c r="L233" s="453"/>
      <c r="M233" s="422" t="str">
        <f>HYPERLINK("#最大值和最小值!A300","跳转")</f>
        <v>跳转</v>
      </c>
    </row>
    <row r="234" spans="1:13" ht="21" customHeight="1">
      <c r="A234" s="418" t="s">
        <v>86</v>
      </c>
      <c r="B234" s="458" t="s">
        <v>1024</v>
      </c>
      <c r="C234" s="458"/>
      <c r="D234" s="458"/>
      <c r="E234" s="458"/>
      <c r="F234" s="458"/>
      <c r="G234" s="458"/>
      <c r="H234" s="458"/>
      <c r="I234" s="458"/>
      <c r="J234" s="458"/>
      <c r="K234" s="458"/>
      <c r="L234" s="458"/>
      <c r="M234" s="420" t="str">
        <f>HYPERLINK("#提取时分秒!A100","跳转")</f>
        <v>跳转</v>
      </c>
    </row>
    <row r="235" spans="1:13" ht="21" customHeight="1">
      <c r="A235" s="421" t="s">
        <v>233</v>
      </c>
      <c r="B235" s="453" t="s">
        <v>1025</v>
      </c>
      <c r="C235" s="453"/>
      <c r="D235" s="453"/>
      <c r="E235" s="453"/>
      <c r="F235" s="453"/>
      <c r="G235" s="453"/>
      <c r="H235" s="453"/>
      <c r="I235" s="453"/>
      <c r="J235" s="453"/>
      <c r="K235" s="453"/>
      <c r="L235" s="453"/>
      <c r="M235" s="422" t="str">
        <f>HYPERLINK("#计算矩阵!A100","跳转")</f>
        <v>跳转</v>
      </c>
    </row>
    <row r="236" spans="1:13" ht="21" customHeight="1">
      <c r="A236" s="418" t="s">
        <v>1026</v>
      </c>
      <c r="B236" s="458" t="s">
        <v>1027</v>
      </c>
      <c r="C236" s="458"/>
      <c r="D236" s="458"/>
      <c r="E236" s="458"/>
      <c r="F236" s="458"/>
      <c r="G236" s="458"/>
      <c r="H236" s="458"/>
      <c r="I236" s="458"/>
      <c r="J236" s="458"/>
      <c r="K236" s="458"/>
      <c r="L236" s="458"/>
      <c r="M236" s="420" t="str">
        <f>HYPERLINK("#内部利益率!A200","跳转")</f>
        <v>跳转</v>
      </c>
    </row>
    <row r="237" spans="1:13" ht="21" customHeight="1">
      <c r="A237" s="421" t="s">
        <v>235</v>
      </c>
      <c r="B237" s="453" t="s">
        <v>1028</v>
      </c>
      <c r="C237" s="453"/>
      <c r="D237" s="453"/>
      <c r="E237" s="453"/>
      <c r="F237" s="453"/>
      <c r="G237" s="453"/>
      <c r="H237" s="453"/>
      <c r="I237" s="453"/>
      <c r="J237" s="453"/>
      <c r="K237" s="453"/>
      <c r="L237" s="453"/>
      <c r="M237" s="422" t="str">
        <f>HYPERLINK("#计算矩阵!A200","跳转")</f>
        <v>跳转</v>
      </c>
    </row>
    <row r="238" spans="1:13" ht="21" customHeight="1">
      <c r="A238" s="418" t="s">
        <v>139</v>
      </c>
      <c r="B238" s="458" t="s">
        <v>1029</v>
      </c>
      <c r="C238" s="458"/>
      <c r="D238" s="458"/>
      <c r="E238" s="458"/>
      <c r="F238" s="458"/>
      <c r="G238" s="458"/>
      <c r="H238" s="458"/>
      <c r="I238" s="458"/>
      <c r="J238" s="458"/>
      <c r="K238" s="458"/>
      <c r="L238" s="458"/>
      <c r="M238" s="420" t="str">
        <f>HYPERLINK("#商的整数部分或余数!A100","跳转")</f>
        <v>跳转</v>
      </c>
    </row>
    <row r="239" spans="1:13" ht="21" customHeight="1">
      <c r="A239" s="421" t="s">
        <v>410</v>
      </c>
      <c r="B239" s="453" t="s">
        <v>1030</v>
      </c>
      <c r="C239" s="453"/>
      <c r="D239" s="453"/>
      <c r="E239" s="453"/>
      <c r="F239" s="453"/>
      <c r="G239" s="453"/>
      <c r="H239" s="453"/>
      <c r="I239" s="453"/>
      <c r="J239" s="453"/>
      <c r="K239" s="453"/>
      <c r="L239" s="453"/>
      <c r="M239" s="422" t="str">
        <f>HYPERLINK("#中位数和众数!A100","跳转")</f>
        <v>跳转</v>
      </c>
    </row>
    <row r="240" spans="1:13" ht="21" customHeight="1">
      <c r="A240" s="418" t="s">
        <v>77</v>
      </c>
      <c r="B240" s="458" t="s">
        <v>1031</v>
      </c>
      <c r="C240" s="458"/>
      <c r="D240" s="458"/>
      <c r="E240" s="458"/>
      <c r="F240" s="458"/>
      <c r="G240" s="458"/>
      <c r="H240" s="458"/>
      <c r="I240" s="458"/>
      <c r="J240" s="458"/>
      <c r="K240" s="458"/>
      <c r="L240" s="458"/>
      <c r="M240" s="420" t="str">
        <f>HYPERLINK("#提取年月日星期数函数!A100","跳转")</f>
        <v>跳转</v>
      </c>
    </row>
    <row r="241" spans="1:13" ht="21" customHeight="1">
      <c r="A241" s="421" t="s">
        <v>130</v>
      </c>
      <c r="B241" s="453" t="s">
        <v>1032</v>
      </c>
      <c r="C241" s="453"/>
      <c r="D241" s="453"/>
      <c r="E241" s="453"/>
      <c r="F241" s="453"/>
      <c r="G241" s="453"/>
      <c r="H241" s="453"/>
      <c r="I241" s="453"/>
      <c r="J241" s="453"/>
      <c r="K241" s="453"/>
      <c r="L241" s="453"/>
      <c r="M241" s="422" t="str">
        <f>HYPERLINK("#数值舍入取整!A700","跳转")</f>
        <v>跳转</v>
      </c>
    </row>
    <row r="242" spans="1:13" ht="21" customHeight="1">
      <c r="A242" s="429" t="s">
        <v>161</v>
      </c>
      <c r="B242" s="454" t="s">
        <v>1033</v>
      </c>
      <c r="C242" s="454"/>
      <c r="D242" s="454"/>
      <c r="E242" s="454"/>
      <c r="F242" s="454"/>
      <c r="G242" s="454"/>
      <c r="H242" s="454"/>
      <c r="I242" s="454"/>
      <c r="J242" s="454"/>
      <c r="K242" s="454"/>
      <c r="L242" s="454"/>
      <c r="M242" s="423" t="str">
        <f>HYPERLINK("#组合的计算!A400","跳转")</f>
        <v>跳转</v>
      </c>
    </row>
    <row r="243" spans="1:13" ht="21" customHeight="1">
      <c r="A243" s="62"/>
      <c r="B243" s="455"/>
      <c r="C243" s="456"/>
      <c r="D243" s="456"/>
      <c r="E243" s="456"/>
      <c r="F243" s="456"/>
      <c r="G243" s="456"/>
      <c r="H243" s="456"/>
      <c r="I243" s="456"/>
      <c r="J243" s="456"/>
      <c r="K243" s="456"/>
      <c r="L243" s="456"/>
      <c r="M243" s="456"/>
    </row>
    <row r="244" spans="1:13" ht="21" customHeight="1">
      <c r="A244" s="416" t="s">
        <v>1034</v>
      </c>
      <c r="B244" s="417" t="str">
        <f>HYPERLINK("#A3","跳转首行")</f>
        <v>跳转首行</v>
      </c>
      <c r="C244" s="457" t="s">
        <v>720</v>
      </c>
      <c r="D244" s="457"/>
      <c r="E244" s="457"/>
      <c r="F244" s="457"/>
      <c r="G244" s="457"/>
      <c r="H244" s="457"/>
      <c r="I244" s="457"/>
      <c r="J244" s="457"/>
      <c r="K244" s="457"/>
      <c r="L244" s="457"/>
      <c r="M244" s="457"/>
    </row>
    <row r="245" spans="1:13" ht="21" customHeight="1">
      <c r="A245" s="418" t="s">
        <v>687</v>
      </c>
      <c r="B245" s="458" t="s">
        <v>1035</v>
      </c>
      <c r="C245" s="458"/>
      <c r="D245" s="458"/>
      <c r="E245" s="458"/>
      <c r="F245" s="458"/>
      <c r="G245" s="458"/>
      <c r="H245" s="458"/>
      <c r="I245" s="458"/>
      <c r="J245" s="458"/>
      <c r="K245" s="458"/>
      <c r="L245" s="458"/>
      <c r="M245" s="420" t="str">
        <f>HYPERLINK("#变更为数值!A1","跳转")</f>
        <v>跳转</v>
      </c>
    </row>
    <row r="246" spans="1:13" ht="21" customHeight="1">
      <c r="A246" s="421" t="s">
        <v>1036</v>
      </c>
      <c r="B246" s="453" t="s">
        <v>1037</v>
      </c>
      <c r="C246" s="453"/>
      <c r="D246" s="453"/>
      <c r="E246" s="453"/>
      <c r="F246" s="453"/>
      <c r="G246" s="453"/>
      <c r="H246" s="453"/>
      <c r="I246" s="453"/>
      <c r="J246" s="453"/>
      <c r="K246" s="453"/>
      <c r="L246" s="453"/>
      <c r="M246" s="422" t="str">
        <f>HYPERLINK("#查看数据型或错误值!A1","跳转")</f>
        <v>跳转</v>
      </c>
    </row>
    <row r="247" spans="1:13" ht="21" customHeight="1">
      <c r="A247" s="429" t="s">
        <v>1038</v>
      </c>
      <c r="B247" s="458" t="s">
        <v>1039</v>
      </c>
      <c r="C247" s="458"/>
      <c r="D247" s="458"/>
      <c r="E247" s="458"/>
      <c r="F247" s="458"/>
      <c r="G247" s="458"/>
      <c r="H247" s="458"/>
      <c r="I247" s="458"/>
      <c r="J247" s="458"/>
      <c r="K247" s="458"/>
      <c r="L247" s="458"/>
      <c r="M247" s="420" t="str">
        <f>HYPERLINK("#各种分布的概率!A200","跳转")</f>
        <v>跳转</v>
      </c>
    </row>
    <row r="248" spans="1:13" ht="21" customHeight="1">
      <c r="A248" s="435" t="s">
        <v>41</v>
      </c>
      <c r="B248" s="453" t="s">
        <v>1040</v>
      </c>
      <c r="C248" s="453"/>
      <c r="D248" s="453"/>
      <c r="E248" s="453"/>
      <c r="F248" s="453"/>
      <c r="G248" s="453"/>
      <c r="H248" s="453"/>
      <c r="I248" s="453"/>
      <c r="J248" s="453"/>
      <c r="K248" s="453"/>
      <c r="L248" s="453"/>
      <c r="M248" s="422" t="str">
        <f>HYPERLINK("#计算日期、天数、星期!A300","跳转")</f>
        <v>跳转</v>
      </c>
    </row>
    <row r="249" spans="1:13" ht="21" customHeight="1">
      <c r="A249" s="418" t="s">
        <v>1041</v>
      </c>
      <c r="B249" s="458" t="s">
        <v>1042</v>
      </c>
      <c r="C249" s="458"/>
      <c r="D249" s="458"/>
      <c r="E249" s="458"/>
      <c r="F249" s="458"/>
      <c r="G249" s="458"/>
      <c r="H249" s="458"/>
      <c r="I249" s="458"/>
      <c r="J249" s="458"/>
      <c r="K249" s="458"/>
      <c r="L249" s="458"/>
      <c r="M249" s="420" t="str">
        <f>HYPERLINK("#贷储利率类!A500","跳转")</f>
        <v>跳转</v>
      </c>
    </row>
    <row r="250" spans="1:13" ht="21" customHeight="1">
      <c r="A250" s="421" t="s">
        <v>499</v>
      </c>
      <c r="B250" s="453" t="s">
        <v>1043</v>
      </c>
      <c r="C250" s="453"/>
      <c r="D250" s="453"/>
      <c r="E250" s="453"/>
      <c r="F250" s="453"/>
      <c r="G250" s="453"/>
      <c r="H250" s="453"/>
      <c r="I250" s="453"/>
      <c r="J250" s="453"/>
      <c r="K250" s="453"/>
      <c r="L250" s="453"/>
      <c r="M250" s="422" t="str">
        <f>HYPERLINK("#各种分布的概率!A500","跳转")</f>
        <v>跳转</v>
      </c>
    </row>
    <row r="251" spans="1:13" ht="21" customHeight="1">
      <c r="A251" s="418" t="s">
        <v>501</v>
      </c>
      <c r="B251" s="458" t="s">
        <v>1044</v>
      </c>
      <c r="C251" s="458"/>
      <c r="D251" s="458"/>
      <c r="E251" s="458"/>
      <c r="F251" s="458"/>
      <c r="G251" s="458"/>
      <c r="H251" s="458"/>
      <c r="I251" s="458"/>
      <c r="J251" s="458"/>
      <c r="K251" s="458"/>
      <c r="L251" s="458"/>
      <c r="M251" s="420" t="str">
        <f>HYPERLINK("#各种分布的概率!A600","跳转")</f>
        <v>跳转</v>
      </c>
    </row>
    <row r="252" spans="1:13" ht="21" customHeight="1">
      <c r="A252" s="421" t="s">
        <v>503</v>
      </c>
      <c r="B252" s="453" t="s">
        <v>1045</v>
      </c>
      <c r="C252" s="453"/>
      <c r="D252" s="453"/>
      <c r="E252" s="453"/>
      <c r="F252" s="453"/>
      <c r="G252" s="453"/>
      <c r="H252" s="453"/>
      <c r="I252" s="453"/>
      <c r="J252" s="453"/>
      <c r="K252" s="453"/>
      <c r="L252" s="453"/>
      <c r="M252" s="422" t="str">
        <f>HYPERLINK("#各种分布的概率!A700","跳转")</f>
        <v>跳转</v>
      </c>
    </row>
    <row r="253" spans="1:13" ht="21" customHeight="1">
      <c r="A253" s="418" t="s">
        <v>505</v>
      </c>
      <c r="B253" s="458" t="s">
        <v>506</v>
      </c>
      <c r="C253" s="458"/>
      <c r="D253" s="458"/>
      <c r="E253" s="458"/>
      <c r="F253" s="458"/>
      <c r="G253" s="458"/>
      <c r="H253" s="458"/>
      <c r="I253" s="458"/>
      <c r="J253" s="458"/>
      <c r="K253" s="458"/>
      <c r="L253" s="458"/>
      <c r="M253" s="420" t="str">
        <f>HYPERLINK("#各种分布的概率!A800","跳转")</f>
        <v>跳转</v>
      </c>
    </row>
    <row r="254" spans="1:13" ht="21" customHeight="1">
      <c r="A254" s="421" t="s">
        <v>253</v>
      </c>
      <c r="B254" s="453" t="s">
        <v>1046</v>
      </c>
      <c r="C254" s="453"/>
      <c r="D254" s="453"/>
      <c r="E254" s="453"/>
      <c r="F254" s="453"/>
      <c r="G254" s="453"/>
      <c r="H254" s="453"/>
      <c r="I254" s="453"/>
      <c r="J254" s="453"/>
      <c r="K254" s="453"/>
      <c r="L254" s="453"/>
      <c r="M254" s="422" t="str">
        <f>HYPERLINK("#判断多个条件!A200","跳转")</f>
        <v>跳转</v>
      </c>
    </row>
    <row r="255" spans="1:13" ht="21" customHeight="1">
      <c r="A255" s="418" t="s">
        <v>71</v>
      </c>
      <c r="B255" s="458" t="s">
        <v>1047</v>
      </c>
      <c r="C255" s="458"/>
      <c r="D255" s="458"/>
      <c r="E255" s="458"/>
      <c r="F255" s="458"/>
      <c r="G255" s="458"/>
      <c r="H255" s="458"/>
      <c r="I255" s="458"/>
      <c r="J255" s="458"/>
      <c r="K255" s="458"/>
      <c r="L255" s="458"/>
      <c r="M255" s="420" t="str">
        <f>HYPERLINK("#TODAY与NOW!A100","跳转")</f>
        <v>跳转</v>
      </c>
    </row>
    <row r="256" spans="1:13" ht="21" customHeight="1">
      <c r="A256" s="421" t="s">
        <v>1048</v>
      </c>
      <c r="B256" s="453" t="s">
        <v>1049</v>
      </c>
      <c r="C256" s="453"/>
      <c r="D256" s="453"/>
      <c r="E256" s="453"/>
      <c r="F256" s="453"/>
      <c r="G256" s="453"/>
      <c r="H256" s="453"/>
      <c r="I256" s="453"/>
      <c r="J256" s="453"/>
      <c r="K256" s="453"/>
      <c r="L256" s="453"/>
      <c r="M256" s="422" t="str">
        <f>HYPERLINK("#贷储利率类!A200","跳转")</f>
        <v>跳转</v>
      </c>
    </row>
    <row r="257" spans="1:13" ht="21" customHeight="1">
      <c r="A257" s="418" t="s">
        <v>1050</v>
      </c>
      <c r="B257" s="458" t="s">
        <v>1051</v>
      </c>
      <c r="C257" s="458"/>
      <c r="D257" s="458"/>
      <c r="E257" s="458"/>
      <c r="F257" s="458"/>
      <c r="G257" s="458"/>
      <c r="H257" s="458"/>
      <c r="I257" s="458"/>
      <c r="J257" s="458"/>
      <c r="K257" s="458"/>
      <c r="L257" s="458"/>
      <c r="M257" s="420" t="str">
        <f>HYPERLINK("#贷储利率类!A600","跳转")</f>
        <v>跳转</v>
      </c>
    </row>
    <row r="258" spans="1:13" ht="21" customHeight="1">
      <c r="A258" s="435" t="s">
        <v>387</v>
      </c>
      <c r="B258" s="459"/>
      <c r="C258" s="459"/>
      <c r="D258" s="459"/>
      <c r="E258" s="459"/>
      <c r="F258" s="459"/>
      <c r="G258" s="459"/>
      <c r="H258" s="459"/>
      <c r="I258" s="459"/>
      <c r="J258" s="459"/>
      <c r="K258" s="459"/>
      <c r="L258" s="459"/>
      <c r="M258" s="430" t="str">
        <f>HYPERLINK("#数值转换成格式!A500","跳转")</f>
        <v>跳转</v>
      </c>
    </row>
    <row r="259" spans="1:13" ht="21" customHeight="1">
      <c r="A259" s="62"/>
      <c r="B259" s="455"/>
      <c r="C259" s="456"/>
      <c r="D259" s="456"/>
      <c r="E259" s="456"/>
      <c r="F259" s="456"/>
      <c r="G259" s="456"/>
      <c r="H259" s="456"/>
      <c r="I259" s="456"/>
      <c r="J259" s="456"/>
      <c r="K259" s="456"/>
      <c r="L259" s="456"/>
      <c r="M259" s="456"/>
    </row>
    <row r="260" spans="1:13" ht="21" customHeight="1">
      <c r="A260" s="416" t="s">
        <v>1052</v>
      </c>
      <c r="B260" s="417" t="str">
        <f>HYPERLINK("#A3","跳转首行")</f>
        <v>跳转首行</v>
      </c>
      <c r="C260" s="457" t="s">
        <v>720</v>
      </c>
      <c r="D260" s="457"/>
      <c r="E260" s="457"/>
      <c r="F260" s="457"/>
      <c r="G260" s="457"/>
      <c r="H260" s="457"/>
      <c r="I260" s="457"/>
      <c r="J260" s="457"/>
      <c r="K260" s="457"/>
      <c r="L260" s="457"/>
      <c r="M260" s="457"/>
    </row>
    <row r="261" spans="1:13" ht="21" customHeight="1">
      <c r="A261" s="418" t="s">
        <v>1053</v>
      </c>
      <c r="B261" s="458" t="s">
        <v>1054</v>
      </c>
      <c r="C261" s="458"/>
      <c r="D261" s="458"/>
      <c r="E261" s="458"/>
      <c r="F261" s="458"/>
      <c r="G261" s="458"/>
      <c r="H261" s="458"/>
      <c r="I261" s="458"/>
      <c r="J261" s="458"/>
      <c r="K261" s="458"/>
      <c r="L261" s="458"/>
      <c r="M261" s="420" t="str">
        <f>HYPERLINK("#交换数值的进制标记!A300","跳转")</f>
        <v>跳转</v>
      </c>
    </row>
    <row r="262" spans="1:13" ht="21" customHeight="1">
      <c r="A262" s="421" t="s">
        <v>1055</v>
      </c>
      <c r="B262" s="453" t="s">
        <v>1056</v>
      </c>
      <c r="C262" s="453"/>
      <c r="D262" s="453"/>
      <c r="E262" s="453"/>
      <c r="F262" s="453"/>
      <c r="G262" s="453"/>
      <c r="H262" s="453"/>
      <c r="I262" s="453"/>
      <c r="J262" s="453"/>
      <c r="K262" s="453"/>
      <c r="L262" s="453"/>
      <c r="M262" s="422" t="str">
        <f>HYPERLINK("#交换数值的进制标记!A400","跳转")</f>
        <v>跳转</v>
      </c>
    </row>
    <row r="263" spans="1:13" ht="21" customHeight="1">
      <c r="A263" s="418" t="s">
        <v>828</v>
      </c>
      <c r="B263" s="458" t="s">
        <v>1057</v>
      </c>
      <c r="C263" s="458"/>
      <c r="D263" s="458"/>
      <c r="E263" s="458"/>
      <c r="F263" s="458"/>
      <c r="G263" s="458"/>
      <c r="H263" s="458"/>
      <c r="I263" s="458"/>
      <c r="J263" s="458"/>
      <c r="K263" s="458"/>
      <c r="L263" s="458"/>
      <c r="M263" s="420" t="str">
        <f>HYPERLINK("#交换数值的进制标记!A500","跳转")</f>
        <v>跳转</v>
      </c>
    </row>
    <row r="264" spans="1:13" ht="21" customHeight="1">
      <c r="A264" s="421" t="s">
        <v>134</v>
      </c>
      <c r="B264" s="453" t="s">
        <v>1058</v>
      </c>
      <c r="C264" s="453"/>
      <c r="D264" s="453"/>
      <c r="E264" s="453"/>
      <c r="F264" s="453"/>
      <c r="G264" s="453"/>
      <c r="H264" s="453"/>
      <c r="I264" s="453"/>
      <c r="J264" s="453"/>
      <c r="K264" s="453"/>
      <c r="L264" s="453"/>
      <c r="M264" s="422" t="str">
        <f>HYPERLINK("#数值舍入取整!A900","跳转")</f>
        <v>跳转</v>
      </c>
    </row>
    <row r="265" spans="1:13" ht="21" customHeight="1">
      <c r="A265" s="418" t="s">
        <v>587</v>
      </c>
      <c r="B265" s="458" t="s">
        <v>1059</v>
      </c>
      <c r="C265" s="458"/>
      <c r="D265" s="458"/>
      <c r="E265" s="458"/>
      <c r="F265" s="458"/>
      <c r="G265" s="458"/>
      <c r="H265" s="458"/>
      <c r="I265" s="458"/>
      <c r="J265" s="458"/>
      <c r="K265" s="458"/>
      <c r="L265" s="458"/>
      <c r="M265" s="420" t="str">
        <f>HYPERLINK("#期间不定的定期付息证券!A100","跳转")</f>
        <v>跳转</v>
      </c>
    </row>
    <row r="266" spans="1:13" ht="21" customHeight="1">
      <c r="A266" s="421" t="s">
        <v>1060</v>
      </c>
      <c r="B266" s="453" t="s">
        <v>1061</v>
      </c>
      <c r="C266" s="453"/>
      <c r="D266" s="453"/>
      <c r="E266" s="453"/>
      <c r="F266" s="453"/>
      <c r="G266" s="453"/>
      <c r="H266" s="453"/>
      <c r="I266" s="453"/>
      <c r="J266" s="453"/>
      <c r="K266" s="453"/>
      <c r="L266" s="453"/>
      <c r="M266" s="422" t="str">
        <f>HYPERLINK("#期间不定的定期付息证券!A1","跳转")</f>
        <v>跳转</v>
      </c>
    </row>
    <row r="267" spans="1:13" ht="21" customHeight="1">
      <c r="A267" s="418" t="s">
        <v>590</v>
      </c>
      <c r="B267" s="458" t="s">
        <v>1062</v>
      </c>
      <c r="C267" s="458"/>
      <c r="D267" s="458"/>
      <c r="E267" s="458"/>
      <c r="F267" s="458"/>
      <c r="G267" s="458"/>
      <c r="H267" s="458"/>
      <c r="I267" s="458"/>
      <c r="J267" s="458"/>
      <c r="K267" s="458"/>
      <c r="L267" s="458"/>
      <c r="M267" s="420" t="str">
        <f>HYPERLINK("#期间不定的定期付息证券!A300","跳转")</f>
        <v>跳转</v>
      </c>
    </row>
    <row r="268" spans="1:13" ht="21" customHeight="1">
      <c r="A268" s="421" t="s">
        <v>1063</v>
      </c>
      <c r="B268" s="453" t="s">
        <v>1064</v>
      </c>
      <c r="C268" s="453"/>
      <c r="D268" s="453"/>
      <c r="E268" s="453"/>
      <c r="F268" s="453"/>
      <c r="G268" s="453"/>
      <c r="H268" s="453"/>
      <c r="I268" s="453"/>
      <c r="J268" s="453"/>
      <c r="K268" s="453"/>
      <c r="L268" s="453"/>
      <c r="M268" s="422" t="str">
        <f>HYPERLINK("#期间不定的定期付息证券!A200","跳转")</f>
        <v>跳转</v>
      </c>
    </row>
    <row r="269" spans="1:13" ht="21" customHeight="1">
      <c r="A269" s="418" t="s">
        <v>270</v>
      </c>
      <c r="B269" s="458" t="s">
        <v>1065</v>
      </c>
      <c r="C269" s="458"/>
      <c r="D269" s="458"/>
      <c r="E269" s="458"/>
      <c r="F269" s="458"/>
      <c r="G269" s="458"/>
      <c r="H269" s="458"/>
      <c r="I269" s="458"/>
      <c r="J269" s="458"/>
      <c r="K269" s="458"/>
      <c r="L269" s="458"/>
      <c r="M269" s="420" t="str">
        <f>HYPERLINK("#OFFSET!A1","跳转")</f>
        <v>跳转</v>
      </c>
    </row>
    <row r="270" spans="1:13" ht="21" customHeight="1">
      <c r="A270" s="421" t="s">
        <v>250</v>
      </c>
      <c r="B270" s="459" t="s">
        <v>1066</v>
      </c>
      <c r="C270" s="459"/>
      <c r="D270" s="459"/>
      <c r="E270" s="459"/>
      <c r="F270" s="459"/>
      <c r="G270" s="459"/>
      <c r="H270" s="459"/>
      <c r="I270" s="459"/>
      <c r="J270" s="459"/>
      <c r="K270" s="459"/>
      <c r="L270" s="459"/>
      <c r="M270" s="430" t="str">
        <f>HYPERLINK("#判断多个条件!A100","跳转")</f>
        <v>跳转</v>
      </c>
    </row>
    <row r="271" spans="1:13" ht="21" customHeight="1">
      <c r="A271" s="62"/>
      <c r="B271" s="455"/>
      <c r="C271" s="456"/>
      <c r="D271" s="456"/>
      <c r="E271" s="456"/>
      <c r="F271" s="456"/>
      <c r="G271" s="456"/>
      <c r="H271" s="456"/>
      <c r="I271" s="456"/>
      <c r="J271" s="456"/>
      <c r="K271" s="456"/>
      <c r="L271" s="456"/>
      <c r="M271" s="456"/>
    </row>
    <row r="272" spans="1:13" ht="21" customHeight="1">
      <c r="A272" s="416" t="s">
        <v>1067</v>
      </c>
      <c r="B272" s="417" t="str">
        <f>HYPERLINK("#A3","跳转首行")</f>
        <v>跳转首行</v>
      </c>
      <c r="C272" s="457" t="s">
        <v>720</v>
      </c>
      <c r="D272" s="457"/>
      <c r="E272" s="457"/>
      <c r="F272" s="457"/>
      <c r="G272" s="457"/>
      <c r="H272" s="457"/>
      <c r="I272" s="457"/>
      <c r="J272" s="457"/>
      <c r="K272" s="457"/>
      <c r="L272" s="457"/>
      <c r="M272" s="457"/>
    </row>
    <row r="273" spans="1:13" ht="21" customHeight="1">
      <c r="A273" s="418" t="s">
        <v>1068</v>
      </c>
      <c r="B273" s="458" t="s">
        <v>1069</v>
      </c>
      <c r="C273" s="458"/>
      <c r="D273" s="458"/>
      <c r="E273" s="458"/>
      <c r="F273" s="458"/>
      <c r="G273" s="458"/>
      <c r="H273" s="458"/>
      <c r="I273" s="458"/>
      <c r="J273" s="458"/>
      <c r="K273" s="458"/>
      <c r="L273" s="458"/>
      <c r="M273" s="420" t="str">
        <f>HYPERLINK("#计算相关系数!A100","跳转")</f>
        <v>跳转</v>
      </c>
    </row>
    <row r="274" spans="1:13" ht="21" customHeight="1">
      <c r="A274" s="421" t="s">
        <v>431</v>
      </c>
      <c r="B274" s="453" t="s">
        <v>1070</v>
      </c>
      <c r="C274" s="453"/>
      <c r="D274" s="453"/>
      <c r="E274" s="453"/>
      <c r="F274" s="453"/>
      <c r="G274" s="453"/>
      <c r="H274" s="453"/>
      <c r="I274" s="453"/>
      <c r="J274" s="453"/>
      <c r="K274" s="453"/>
      <c r="L274" s="453"/>
      <c r="M274" s="422" t="str">
        <f>HYPERLINK("#百分位数和四分位数!A1","跳转")</f>
        <v>跳转</v>
      </c>
    </row>
    <row r="275" spans="1:13" ht="21" customHeight="1">
      <c r="A275" s="429" t="s">
        <v>435</v>
      </c>
      <c r="B275" s="458" t="s">
        <v>1071</v>
      </c>
      <c r="C275" s="458"/>
      <c r="D275" s="458"/>
      <c r="E275" s="458"/>
      <c r="F275" s="458"/>
      <c r="G275" s="458"/>
      <c r="H275" s="458"/>
      <c r="I275" s="458"/>
      <c r="J275" s="458"/>
      <c r="K275" s="458"/>
      <c r="L275" s="458"/>
      <c r="M275" s="420" t="str">
        <f>HYPERLINK("#百分位数和四分位数!A200","跳转")</f>
        <v>跳转</v>
      </c>
    </row>
    <row r="276" spans="1:13" ht="21" customHeight="1">
      <c r="A276" s="421" t="s">
        <v>157</v>
      </c>
      <c r="B276" s="453" t="s">
        <v>1072</v>
      </c>
      <c r="C276" s="453"/>
      <c r="D276" s="453"/>
      <c r="E276" s="453"/>
      <c r="F276" s="453"/>
      <c r="G276" s="453"/>
      <c r="H276" s="453"/>
      <c r="I276" s="453"/>
      <c r="J276" s="453"/>
      <c r="K276" s="453"/>
      <c r="L276" s="453"/>
      <c r="M276" s="422" t="str">
        <f>HYPERLINK("#组合的计算!A200","跳转")</f>
        <v>跳转</v>
      </c>
    </row>
    <row r="277" spans="1:13" ht="21" customHeight="1">
      <c r="A277" s="418" t="s">
        <v>187</v>
      </c>
      <c r="B277" s="458" t="s">
        <v>1073</v>
      </c>
      <c r="C277" s="458"/>
      <c r="D277" s="458"/>
      <c r="E277" s="458"/>
      <c r="F277" s="458"/>
      <c r="G277" s="458"/>
      <c r="H277" s="458"/>
      <c r="I277" s="458"/>
      <c r="J277" s="458"/>
      <c r="K277" s="458"/>
      <c r="L277" s="458"/>
      <c r="M277" s="420" t="str">
        <f>HYPERLINK("#计算圆周率与角度和弧度的转换!A1","跳转")</f>
        <v>跳转</v>
      </c>
    </row>
    <row r="278" spans="1:13" ht="21" customHeight="1">
      <c r="A278" s="421" t="s">
        <v>1074</v>
      </c>
      <c r="B278" s="453" t="s">
        <v>1075</v>
      </c>
      <c r="C278" s="453"/>
      <c r="D278" s="453"/>
      <c r="E278" s="453"/>
      <c r="F278" s="453"/>
      <c r="G278" s="453"/>
      <c r="H278" s="453"/>
      <c r="I278" s="453"/>
      <c r="J278" s="453"/>
      <c r="K278" s="453"/>
      <c r="L278" s="453"/>
      <c r="M278" s="422" t="str">
        <f>HYPERLINK("#贷款部分!A1","跳转")</f>
        <v>跳转</v>
      </c>
    </row>
    <row r="279" spans="1:13" ht="21" customHeight="1">
      <c r="A279" s="418" t="s">
        <v>496</v>
      </c>
      <c r="B279" s="458" t="s">
        <v>1076</v>
      </c>
      <c r="C279" s="458"/>
      <c r="D279" s="458"/>
      <c r="E279" s="458"/>
      <c r="F279" s="458"/>
      <c r="G279" s="458"/>
      <c r="H279" s="458"/>
      <c r="I279" s="458"/>
      <c r="J279" s="458"/>
      <c r="K279" s="458"/>
      <c r="L279" s="458"/>
      <c r="M279" s="420" t="str">
        <f>HYPERLINK("#各种分布的概率!A400","跳转")</f>
        <v>跳转</v>
      </c>
    </row>
    <row r="280" spans="1:13" ht="21" customHeight="1">
      <c r="A280" s="421" t="s">
        <v>173</v>
      </c>
      <c r="B280" s="453" t="s">
        <v>1077</v>
      </c>
      <c r="C280" s="453"/>
      <c r="D280" s="453"/>
      <c r="E280" s="453"/>
      <c r="F280" s="453"/>
      <c r="G280" s="453"/>
      <c r="H280" s="453"/>
      <c r="I280" s="453"/>
      <c r="J280" s="453"/>
      <c r="K280" s="453"/>
      <c r="L280" s="453"/>
      <c r="M280" s="422" t="str">
        <f>HYPERLINK("#指数与对数函数!A1","跳转")</f>
        <v>跳转</v>
      </c>
    </row>
    <row r="281" spans="1:13" ht="21" customHeight="1">
      <c r="A281" s="418" t="s">
        <v>1078</v>
      </c>
      <c r="B281" s="458" t="s">
        <v>1079</v>
      </c>
      <c r="C281" s="458"/>
      <c r="D281" s="458"/>
      <c r="E281" s="458"/>
      <c r="F281" s="458"/>
      <c r="G281" s="458"/>
      <c r="H281" s="458"/>
      <c r="I281" s="458"/>
      <c r="J281" s="458"/>
      <c r="K281" s="458"/>
      <c r="L281" s="458"/>
      <c r="M281" s="420" t="str">
        <f>HYPERLINK("#贷款部分!A100","跳转")</f>
        <v>跳转</v>
      </c>
    </row>
    <row r="282" spans="1:13" ht="21" customHeight="1">
      <c r="A282" s="421" t="s">
        <v>1080</v>
      </c>
      <c r="B282" s="453" t="s">
        <v>1081</v>
      </c>
      <c r="C282" s="453"/>
      <c r="D282" s="453"/>
      <c r="E282" s="453"/>
      <c r="F282" s="453"/>
      <c r="G282" s="453"/>
      <c r="H282" s="453"/>
      <c r="I282" s="453"/>
      <c r="J282" s="453"/>
      <c r="K282" s="453"/>
      <c r="L282" s="453"/>
      <c r="M282" s="422" t="str">
        <f>HYPERLINK("#定期付息证券!A100","跳转")</f>
        <v>跳转</v>
      </c>
    </row>
    <row r="283" spans="1:13" ht="21" customHeight="1">
      <c r="A283" s="418" t="s">
        <v>1082</v>
      </c>
      <c r="B283" s="458" t="s">
        <v>1083</v>
      </c>
      <c r="C283" s="458"/>
      <c r="D283" s="458"/>
      <c r="E283" s="458"/>
      <c r="F283" s="458"/>
      <c r="G283" s="458"/>
      <c r="H283" s="458"/>
      <c r="I283" s="458"/>
      <c r="J283" s="458"/>
      <c r="K283" s="458"/>
      <c r="L283" s="458"/>
      <c r="M283" s="420" t="str">
        <f>HYPERLINK("#折价证券!A300","跳转")</f>
        <v>跳转</v>
      </c>
    </row>
    <row r="284" spans="1:13" ht="21" customHeight="1">
      <c r="A284" s="421" t="s">
        <v>1084</v>
      </c>
      <c r="B284" s="453" t="s">
        <v>1085</v>
      </c>
      <c r="C284" s="453"/>
      <c r="D284" s="453"/>
      <c r="E284" s="453"/>
      <c r="F284" s="453"/>
      <c r="G284" s="453"/>
      <c r="H284" s="453"/>
      <c r="I284" s="453"/>
      <c r="J284" s="453"/>
      <c r="K284" s="453"/>
      <c r="L284" s="453"/>
      <c r="M284" s="422" t="str">
        <f>HYPERLINK("#到期付息证券!A100","跳转")</f>
        <v>跳转</v>
      </c>
    </row>
    <row r="285" spans="1:13" ht="21" customHeight="1">
      <c r="A285" s="418" t="s">
        <v>1086</v>
      </c>
      <c r="B285" s="458" t="s">
        <v>1087</v>
      </c>
      <c r="C285" s="458"/>
      <c r="D285" s="458"/>
      <c r="E285" s="458"/>
      <c r="F285" s="458"/>
      <c r="G285" s="458"/>
      <c r="H285" s="458"/>
      <c r="I285" s="458"/>
      <c r="J285" s="458"/>
      <c r="K285" s="458"/>
      <c r="L285" s="458"/>
      <c r="M285" s="420" t="str">
        <f>HYPERLINK("#CONFIDENCE与PROB!A100","跳转")</f>
        <v>跳转</v>
      </c>
    </row>
    <row r="286" spans="1:13" ht="21" customHeight="1">
      <c r="A286" s="421" t="s">
        <v>99</v>
      </c>
      <c r="B286" s="453" t="s">
        <v>1088</v>
      </c>
      <c r="C286" s="453"/>
      <c r="D286" s="453"/>
      <c r="E286" s="453"/>
      <c r="F286" s="453"/>
      <c r="G286" s="453"/>
      <c r="H286" s="453"/>
      <c r="I286" s="453"/>
      <c r="J286" s="453"/>
      <c r="K286" s="453"/>
      <c r="L286" s="453"/>
      <c r="M286" s="422" t="str">
        <f>HYPERLINK("#"&amp;A286&amp;"!A1","跳转")</f>
        <v>跳转</v>
      </c>
    </row>
    <row r="287" spans="1:13" ht="21" customHeight="1">
      <c r="A287" s="418" t="s">
        <v>313</v>
      </c>
      <c r="B287" s="458" t="s">
        <v>1089</v>
      </c>
      <c r="C287" s="458"/>
      <c r="D287" s="458"/>
      <c r="E287" s="458"/>
      <c r="F287" s="458"/>
      <c r="G287" s="458"/>
      <c r="H287" s="458"/>
      <c r="I287" s="458"/>
      <c r="J287" s="458"/>
      <c r="K287" s="458"/>
      <c r="L287" s="458"/>
      <c r="M287" s="420" t="str">
        <f>HYPERLINK("#大小写字母转换!A200","跳转")</f>
        <v>跳转</v>
      </c>
    </row>
    <row r="288" spans="1:13" ht="21" customHeight="1">
      <c r="A288" s="421" t="s">
        <v>1090</v>
      </c>
      <c r="B288" s="459" t="s">
        <v>1091</v>
      </c>
      <c r="C288" s="459"/>
      <c r="D288" s="459"/>
      <c r="E288" s="459"/>
      <c r="F288" s="459"/>
      <c r="G288" s="459"/>
      <c r="H288" s="459"/>
      <c r="I288" s="459"/>
      <c r="J288" s="459"/>
      <c r="K288" s="459"/>
      <c r="L288" s="459"/>
      <c r="M288" s="430" t="str">
        <f>HYPERLINK("#贷款部分!A600","跳转")</f>
        <v>跳转</v>
      </c>
    </row>
    <row r="289" spans="1:13" ht="21" customHeight="1">
      <c r="A289" s="431"/>
      <c r="B289" s="455"/>
      <c r="C289" s="456"/>
      <c r="D289" s="456"/>
      <c r="E289" s="456"/>
      <c r="F289" s="456"/>
      <c r="G289" s="456"/>
      <c r="H289" s="456"/>
      <c r="I289" s="456"/>
      <c r="J289" s="456"/>
      <c r="K289" s="456"/>
      <c r="L289" s="456"/>
      <c r="M289" s="456"/>
    </row>
    <row r="290" spans="1:13" ht="21" customHeight="1">
      <c r="A290" s="416" t="s">
        <v>1092</v>
      </c>
      <c r="B290" s="417" t="str">
        <f>HYPERLINK("#A3","跳转首行")</f>
        <v>跳转首行</v>
      </c>
      <c r="C290" s="457" t="s">
        <v>720</v>
      </c>
      <c r="D290" s="457"/>
      <c r="E290" s="457"/>
      <c r="F290" s="457"/>
      <c r="G290" s="457"/>
      <c r="H290" s="457"/>
      <c r="I290" s="457"/>
      <c r="J290" s="457"/>
      <c r="K290" s="457"/>
      <c r="L290" s="457"/>
      <c r="M290" s="457"/>
    </row>
    <row r="291" spans="1:13" ht="21" customHeight="1">
      <c r="A291" s="418" t="s">
        <v>433</v>
      </c>
      <c r="B291" s="458" t="s">
        <v>1093</v>
      </c>
      <c r="C291" s="458"/>
      <c r="D291" s="458"/>
      <c r="E291" s="458"/>
      <c r="F291" s="458"/>
      <c r="G291" s="458"/>
      <c r="H291" s="458"/>
      <c r="I291" s="458"/>
      <c r="J291" s="458"/>
      <c r="K291" s="458"/>
      <c r="L291" s="458"/>
      <c r="M291" s="420" t="str">
        <f>HYPERLINK("#百分位数和四分位数!A100","跳转")</f>
        <v>跳转</v>
      </c>
    </row>
    <row r="292" spans="1:13" ht="21" customHeight="1">
      <c r="A292" s="421" t="s">
        <v>137</v>
      </c>
      <c r="B292" s="459" t="s">
        <v>1094</v>
      </c>
      <c r="C292" s="459"/>
      <c r="D292" s="459"/>
      <c r="E292" s="459"/>
      <c r="F292" s="459"/>
      <c r="G292" s="459"/>
      <c r="H292" s="459"/>
      <c r="I292" s="459"/>
      <c r="J292" s="459"/>
      <c r="K292" s="459"/>
      <c r="L292" s="459"/>
      <c r="M292" s="430" t="str">
        <f>HYPERLINK("#商的整数部分或余数!A1","跳转")</f>
        <v>跳转</v>
      </c>
    </row>
    <row r="293" spans="1:13" ht="21" customHeight="1">
      <c r="A293" s="431"/>
      <c r="B293" s="455"/>
      <c r="C293" s="456"/>
      <c r="D293" s="456"/>
      <c r="E293" s="456"/>
      <c r="F293" s="456"/>
      <c r="G293" s="456"/>
      <c r="H293" s="456"/>
      <c r="I293" s="456"/>
      <c r="J293" s="456"/>
      <c r="K293" s="456"/>
      <c r="L293" s="456"/>
      <c r="M293" s="456"/>
    </row>
    <row r="294" spans="1:13" ht="21" customHeight="1">
      <c r="A294" s="416" t="s">
        <v>1095</v>
      </c>
      <c r="B294" s="417" t="str">
        <f>HYPERLINK("#A3","跳转首行")</f>
        <v>跳转首行</v>
      </c>
      <c r="C294" s="457" t="s">
        <v>720</v>
      </c>
      <c r="D294" s="457"/>
      <c r="E294" s="457"/>
      <c r="F294" s="457"/>
      <c r="G294" s="457"/>
      <c r="H294" s="457"/>
      <c r="I294" s="457"/>
      <c r="J294" s="457"/>
      <c r="K294" s="457"/>
      <c r="L294" s="457"/>
      <c r="M294" s="457"/>
    </row>
    <row r="295" spans="1:13" ht="21" customHeight="1">
      <c r="A295" s="418" t="s">
        <v>191</v>
      </c>
      <c r="B295" s="458" t="s">
        <v>1096</v>
      </c>
      <c r="C295" s="458"/>
      <c r="D295" s="458"/>
      <c r="E295" s="458"/>
      <c r="F295" s="458"/>
      <c r="G295" s="458"/>
      <c r="H295" s="458"/>
      <c r="I295" s="458"/>
      <c r="J295" s="458"/>
      <c r="K295" s="458"/>
      <c r="L295" s="458"/>
      <c r="M295" s="420" t="str">
        <f>HYPERLINK("#计算圆周率与角度和弧度的转换!A100","跳转")</f>
        <v>跳转</v>
      </c>
    </row>
    <row r="296" spans="1:13" ht="21" customHeight="1">
      <c r="A296" s="421" t="s">
        <v>239</v>
      </c>
      <c r="B296" s="453" t="s">
        <v>1097</v>
      </c>
      <c r="C296" s="453"/>
      <c r="D296" s="453"/>
      <c r="E296" s="453"/>
      <c r="F296" s="453"/>
      <c r="G296" s="453"/>
      <c r="H296" s="453"/>
      <c r="I296" s="453"/>
      <c r="J296" s="453"/>
      <c r="K296" s="453"/>
      <c r="L296" s="453"/>
      <c r="M296" s="422" t="str">
        <f>HYPERLINK("#随机数!A1","跳转")</f>
        <v>跳转</v>
      </c>
    </row>
    <row r="297" spans="1:13" ht="21" customHeight="1">
      <c r="A297" s="429" t="s">
        <v>241</v>
      </c>
      <c r="B297" s="458" t="s">
        <v>1098</v>
      </c>
      <c r="C297" s="458"/>
      <c r="D297" s="458"/>
      <c r="E297" s="458"/>
      <c r="F297" s="458"/>
      <c r="G297" s="458"/>
      <c r="H297" s="458"/>
      <c r="I297" s="458"/>
      <c r="J297" s="458"/>
      <c r="K297" s="458"/>
      <c r="L297" s="458"/>
      <c r="M297" s="420" t="str">
        <f>HYPERLINK("#随机数!A100","跳转")</f>
        <v>跳转</v>
      </c>
    </row>
    <row r="298" spans="1:13" ht="21" customHeight="1">
      <c r="A298" s="421" t="s">
        <v>426</v>
      </c>
      <c r="B298" s="453" t="s">
        <v>1099</v>
      </c>
      <c r="C298" s="453"/>
      <c r="D298" s="453"/>
      <c r="E298" s="453"/>
      <c r="F298" s="453"/>
      <c r="G298" s="453"/>
      <c r="H298" s="453"/>
      <c r="I298" s="453"/>
      <c r="J298" s="453"/>
      <c r="K298" s="453"/>
      <c r="L298" s="453"/>
      <c r="M298" s="422" t="str">
        <f>HYPERLINK("#计算位置!A200","跳转")</f>
        <v>跳转</v>
      </c>
    </row>
    <row r="299" spans="1:13" ht="21" customHeight="1">
      <c r="A299" s="418" t="s">
        <v>1100</v>
      </c>
      <c r="B299" s="458" t="s">
        <v>1101</v>
      </c>
      <c r="C299" s="458"/>
      <c r="D299" s="458"/>
      <c r="E299" s="458"/>
      <c r="F299" s="458"/>
      <c r="G299" s="458"/>
      <c r="H299" s="458"/>
      <c r="I299" s="458"/>
      <c r="J299" s="458"/>
      <c r="K299" s="458"/>
      <c r="L299" s="458"/>
      <c r="M299" s="420" t="str">
        <f>HYPERLINK("#贷储利率类!A300","跳转")</f>
        <v>跳转</v>
      </c>
    </row>
    <row r="300" spans="1:13" ht="21" customHeight="1">
      <c r="A300" s="421" t="s">
        <v>1102</v>
      </c>
      <c r="B300" s="453" t="s">
        <v>1103</v>
      </c>
      <c r="C300" s="453"/>
      <c r="D300" s="453"/>
      <c r="E300" s="453"/>
      <c r="F300" s="453"/>
      <c r="G300" s="453"/>
      <c r="H300" s="453"/>
      <c r="I300" s="453"/>
      <c r="J300" s="453"/>
      <c r="K300" s="453"/>
      <c r="L300" s="453"/>
      <c r="M300" s="422" t="str">
        <f>HYPERLINK("#折价证券!A200","跳转")</f>
        <v>跳转</v>
      </c>
    </row>
    <row r="301" spans="1:13" ht="21" customHeight="1">
      <c r="A301" s="418" t="s">
        <v>1104</v>
      </c>
      <c r="B301" s="458" t="s">
        <v>5981</v>
      </c>
      <c r="C301" s="458"/>
      <c r="D301" s="458"/>
      <c r="E301" s="458"/>
      <c r="F301" s="458"/>
      <c r="G301" s="458"/>
      <c r="H301" s="458"/>
      <c r="I301" s="458"/>
      <c r="J301" s="458"/>
      <c r="K301" s="458"/>
      <c r="L301" s="458"/>
      <c r="M301" s="437" t="s">
        <v>1105</v>
      </c>
    </row>
    <row r="302" spans="1:13" ht="21" customHeight="1">
      <c r="A302" s="435" t="s">
        <v>1106</v>
      </c>
      <c r="B302" s="453" t="s">
        <v>5982</v>
      </c>
      <c r="C302" s="453"/>
      <c r="D302" s="453"/>
      <c r="E302" s="453"/>
      <c r="F302" s="453"/>
      <c r="G302" s="453"/>
      <c r="H302" s="453"/>
      <c r="I302" s="453"/>
      <c r="J302" s="453"/>
      <c r="K302" s="453"/>
      <c r="L302" s="453"/>
      <c r="M302" s="438" t="s">
        <v>1105</v>
      </c>
    </row>
    <row r="303" spans="1:13" ht="21" customHeight="1">
      <c r="A303" s="418" t="s">
        <v>348</v>
      </c>
      <c r="B303" s="458" t="s">
        <v>1107</v>
      </c>
      <c r="C303" s="458"/>
      <c r="D303" s="458"/>
      <c r="E303" s="458"/>
      <c r="F303" s="458"/>
      <c r="G303" s="458"/>
      <c r="H303" s="458"/>
      <c r="I303" s="458"/>
      <c r="J303" s="458"/>
      <c r="K303" s="458"/>
      <c r="L303" s="458"/>
      <c r="M303" s="420" t="str">
        <f>HYPERLINK("#替换文本!A100","跳转")</f>
        <v>跳转</v>
      </c>
    </row>
    <row r="304" spans="1:13" ht="21" customHeight="1">
      <c r="A304" s="421" t="s">
        <v>350</v>
      </c>
      <c r="B304" s="453" t="s">
        <v>1108</v>
      </c>
      <c r="C304" s="453"/>
      <c r="D304" s="453"/>
      <c r="E304" s="453"/>
      <c r="F304" s="453"/>
      <c r="G304" s="453"/>
      <c r="H304" s="453"/>
      <c r="I304" s="453"/>
      <c r="J304" s="453"/>
      <c r="K304" s="453"/>
      <c r="L304" s="453"/>
      <c r="M304" s="422" t="str">
        <f>HYPERLINK("#替换文本!A200","跳转")</f>
        <v>跳转</v>
      </c>
    </row>
    <row r="305" spans="1:13" ht="21" customHeight="1">
      <c r="A305" s="418" t="s">
        <v>381</v>
      </c>
      <c r="B305" s="458" t="s">
        <v>1109</v>
      </c>
      <c r="C305" s="458"/>
      <c r="D305" s="458"/>
      <c r="E305" s="458"/>
      <c r="F305" s="458"/>
      <c r="G305" s="458"/>
      <c r="H305" s="458"/>
      <c r="I305" s="458"/>
      <c r="J305" s="458"/>
      <c r="K305" s="458"/>
      <c r="L305" s="458"/>
      <c r="M305" s="420" t="str">
        <f>HYPERLINK("#检查重复返回文本!A100","跳转")</f>
        <v>跳转</v>
      </c>
    </row>
    <row r="306" spans="1:13" ht="21" customHeight="1">
      <c r="A306" s="421" t="s">
        <v>381</v>
      </c>
      <c r="B306" s="453" t="s">
        <v>1110</v>
      </c>
      <c r="C306" s="453"/>
      <c r="D306" s="453"/>
      <c r="E306" s="453"/>
      <c r="F306" s="453"/>
      <c r="G306" s="453"/>
      <c r="H306" s="453"/>
      <c r="I306" s="453"/>
      <c r="J306" s="453"/>
      <c r="K306" s="453"/>
      <c r="L306" s="453"/>
      <c r="M306" s="422" t="str">
        <f>HYPERLINK("#检查重复返回文本!A100","跳转")</f>
        <v>跳转</v>
      </c>
    </row>
    <row r="307" spans="1:13" ht="21" customHeight="1">
      <c r="A307" s="418" t="s">
        <v>330</v>
      </c>
      <c r="B307" s="458" t="s">
        <v>1111</v>
      </c>
      <c r="C307" s="458"/>
      <c r="D307" s="458"/>
      <c r="E307" s="458"/>
      <c r="F307" s="458"/>
      <c r="G307" s="458"/>
      <c r="H307" s="458"/>
      <c r="I307" s="458"/>
      <c r="J307" s="458"/>
      <c r="K307" s="458"/>
      <c r="L307" s="458"/>
      <c r="M307" s="420" t="str">
        <f>HYPERLINK("#提取文本的一部分!A200","跳转")</f>
        <v>跳转</v>
      </c>
    </row>
    <row r="308" spans="1:13" ht="21" customHeight="1">
      <c r="A308" s="421" t="s">
        <v>332</v>
      </c>
      <c r="B308" s="453"/>
      <c r="C308" s="453"/>
      <c r="D308" s="453"/>
      <c r="E308" s="453"/>
      <c r="F308" s="453"/>
      <c r="G308" s="453"/>
      <c r="H308" s="453"/>
      <c r="I308" s="453"/>
      <c r="J308" s="453"/>
      <c r="K308" s="453"/>
      <c r="L308" s="453"/>
      <c r="M308" s="422" t="str">
        <f>HYPERLINK("#提取文本的一部分!A300","跳转")</f>
        <v>跳转</v>
      </c>
    </row>
    <row r="309" spans="1:13" ht="21" customHeight="1">
      <c r="A309" s="418" t="s">
        <v>374</v>
      </c>
      <c r="B309" s="458" t="s">
        <v>1112</v>
      </c>
      <c r="C309" s="458"/>
      <c r="D309" s="458"/>
      <c r="E309" s="458"/>
      <c r="F309" s="458"/>
      <c r="G309" s="458"/>
      <c r="H309" s="458"/>
      <c r="I309" s="458"/>
      <c r="J309" s="458"/>
      <c r="K309" s="458"/>
      <c r="L309" s="458"/>
      <c r="M309" s="420" t="str">
        <f>HYPERLINK("#数值转换成格式!A400","跳转")</f>
        <v>跳转</v>
      </c>
    </row>
    <row r="310" spans="1:13" ht="21" customHeight="1">
      <c r="A310" s="421" t="s">
        <v>124</v>
      </c>
      <c r="B310" s="453" t="s">
        <v>1113</v>
      </c>
      <c r="C310" s="453"/>
      <c r="D310" s="453"/>
      <c r="E310" s="453"/>
      <c r="F310" s="453"/>
      <c r="G310" s="453"/>
      <c r="H310" s="453"/>
      <c r="I310" s="453"/>
      <c r="J310" s="453"/>
      <c r="K310" s="453"/>
      <c r="L310" s="453"/>
      <c r="M310" s="422" t="str">
        <f>HYPERLINK("#数值舍入取整!A400","跳转")</f>
        <v>跳转</v>
      </c>
    </row>
    <row r="311" spans="1:13" ht="21" customHeight="1">
      <c r="A311" s="418" t="s">
        <v>120</v>
      </c>
      <c r="B311" s="458" t="s">
        <v>1114</v>
      </c>
      <c r="C311" s="458"/>
      <c r="D311" s="458"/>
      <c r="E311" s="458"/>
      <c r="F311" s="458"/>
      <c r="G311" s="458"/>
      <c r="H311" s="458"/>
      <c r="I311" s="458"/>
      <c r="J311" s="458"/>
      <c r="K311" s="458"/>
      <c r="L311" s="458"/>
      <c r="M311" s="420" t="str">
        <f>HYPERLINK("#数值舍入取整!A200","跳转")</f>
        <v>跳转</v>
      </c>
    </row>
    <row r="312" spans="1:13" ht="21" customHeight="1">
      <c r="A312" s="421" t="s">
        <v>122</v>
      </c>
      <c r="B312" s="453" t="s">
        <v>1115</v>
      </c>
      <c r="C312" s="453"/>
      <c r="D312" s="453"/>
      <c r="E312" s="453"/>
      <c r="F312" s="453"/>
      <c r="G312" s="453"/>
      <c r="H312" s="453"/>
      <c r="I312" s="453"/>
      <c r="J312" s="453"/>
      <c r="K312" s="453"/>
      <c r="L312" s="453"/>
      <c r="M312" s="422" t="str">
        <f>HYPERLINK("#数值舍入取整!A300","跳转")</f>
        <v>跳转</v>
      </c>
    </row>
    <row r="313" spans="1:13" ht="21" customHeight="1">
      <c r="A313" s="418" t="s">
        <v>286</v>
      </c>
      <c r="B313" s="458" t="s">
        <v>1116</v>
      </c>
      <c r="C313" s="458"/>
      <c r="D313" s="458"/>
      <c r="E313" s="458"/>
      <c r="F313" s="458"/>
      <c r="G313" s="458"/>
      <c r="H313" s="458"/>
      <c r="I313" s="458"/>
      <c r="J313" s="458"/>
      <c r="K313" s="458"/>
      <c r="L313" s="458"/>
      <c r="M313" s="420" t="str">
        <f>HYPERLINK("#单元格引用或单元格位置!A100","跳转")</f>
        <v>跳转</v>
      </c>
    </row>
    <row r="314" spans="1:13" ht="21" customHeight="1">
      <c r="A314" s="421" t="s">
        <v>291</v>
      </c>
      <c r="B314" s="453" t="s">
        <v>292</v>
      </c>
      <c r="C314" s="453"/>
      <c r="D314" s="453"/>
      <c r="E314" s="453"/>
      <c r="F314" s="453"/>
      <c r="G314" s="453"/>
      <c r="H314" s="453"/>
      <c r="I314" s="453"/>
      <c r="J314" s="453"/>
      <c r="K314" s="453"/>
      <c r="L314" s="453"/>
      <c r="M314" s="422" t="str">
        <f>HYPERLINK("#计算区域内的要素!A100","跳转")</f>
        <v>跳转</v>
      </c>
    </row>
    <row r="315" spans="1:13" ht="21" customHeight="1">
      <c r="A315" s="418" t="s">
        <v>479</v>
      </c>
      <c r="B315" s="458" t="s">
        <v>1117</v>
      </c>
      <c r="C315" s="458"/>
      <c r="D315" s="458"/>
      <c r="E315" s="458"/>
      <c r="F315" s="458"/>
      <c r="G315" s="458"/>
      <c r="H315" s="458"/>
      <c r="I315" s="458"/>
      <c r="J315" s="458"/>
      <c r="K315" s="458"/>
      <c r="L315" s="458"/>
      <c r="M315" s="420" t="str">
        <f>HYPERLINK("#使用回归直曲线或指数回归进行的预测!A600","跳转")</f>
        <v>跳转</v>
      </c>
    </row>
    <row r="316" spans="1:13" ht="21" customHeight="1">
      <c r="A316" s="439" t="s">
        <v>363</v>
      </c>
      <c r="B316" s="465" t="s">
        <v>1118</v>
      </c>
      <c r="C316" s="465"/>
      <c r="D316" s="465"/>
      <c r="E316" s="465"/>
      <c r="F316" s="465"/>
      <c r="G316" s="465"/>
      <c r="H316" s="465"/>
      <c r="I316" s="465"/>
      <c r="J316" s="465"/>
      <c r="K316" s="465"/>
      <c r="L316" s="465"/>
      <c r="M316" s="422" t="str">
        <f>HYPERLINK("#数值转换成格式!A1","跳转")</f>
        <v>跳转</v>
      </c>
    </row>
    <row r="317" spans="1:13" ht="21" customHeight="1">
      <c r="A317" s="421" t="s">
        <v>301</v>
      </c>
      <c r="B317" s="454" t="s">
        <v>1119</v>
      </c>
      <c r="C317" s="454"/>
      <c r="D317" s="454"/>
      <c r="E317" s="454"/>
      <c r="F317" s="454"/>
      <c r="G317" s="454"/>
      <c r="H317" s="454"/>
      <c r="I317" s="454"/>
      <c r="J317" s="454"/>
      <c r="K317" s="454"/>
      <c r="L317" s="454"/>
      <c r="M317" s="423" t="str">
        <f>HYPERLINK("#"&amp;A317&amp;"!A1","跳转")</f>
        <v>跳转</v>
      </c>
    </row>
    <row r="318" spans="1:13" ht="21" customHeight="1">
      <c r="A318" s="431"/>
      <c r="B318" s="455"/>
      <c r="C318" s="456"/>
      <c r="D318" s="456"/>
      <c r="E318" s="456"/>
      <c r="F318" s="456"/>
      <c r="G318" s="456"/>
      <c r="H318" s="456"/>
      <c r="I318" s="456"/>
      <c r="J318" s="456"/>
      <c r="K318" s="456"/>
      <c r="L318" s="456"/>
      <c r="M318" s="456"/>
    </row>
    <row r="319" spans="1:13" ht="21" customHeight="1">
      <c r="A319" s="416" t="s">
        <v>1120</v>
      </c>
      <c r="B319" s="417" t="str">
        <f>HYPERLINK("#A3","跳转首行")</f>
        <v>跳转首行</v>
      </c>
      <c r="C319" s="457" t="s">
        <v>720</v>
      </c>
      <c r="D319" s="457"/>
      <c r="E319" s="457"/>
      <c r="F319" s="457"/>
      <c r="G319" s="457"/>
      <c r="H319" s="457"/>
      <c r="I319" s="457"/>
      <c r="J319" s="457"/>
      <c r="K319" s="457"/>
      <c r="L319" s="457"/>
      <c r="M319" s="457"/>
    </row>
    <row r="320" spans="1:13" ht="21" customHeight="1">
      <c r="A320" s="418" t="s">
        <v>341</v>
      </c>
      <c r="B320" s="458" t="s">
        <v>342</v>
      </c>
      <c r="C320" s="458"/>
      <c r="D320" s="458"/>
      <c r="E320" s="458"/>
      <c r="F320" s="458"/>
      <c r="G320" s="458"/>
      <c r="H320" s="458"/>
      <c r="I320" s="458"/>
      <c r="J320" s="458"/>
      <c r="K320" s="458"/>
      <c r="L320" s="458"/>
      <c r="M320" s="423" t="str">
        <f>HYPERLINK("#检索文本!A200","跳转")</f>
        <v>跳转</v>
      </c>
    </row>
    <row r="321" spans="1:13" ht="21" customHeight="1">
      <c r="A321" s="421" t="s">
        <v>1121</v>
      </c>
      <c r="B321" s="464" t="s">
        <v>344</v>
      </c>
      <c r="C321" s="464"/>
      <c r="D321" s="464"/>
      <c r="E321" s="464"/>
      <c r="F321" s="464"/>
      <c r="G321" s="464"/>
      <c r="H321" s="464"/>
      <c r="I321" s="464"/>
      <c r="J321" s="464"/>
      <c r="K321" s="464"/>
      <c r="L321" s="464"/>
      <c r="M321" s="422" t="str">
        <f>HYPERLINK("#检索文本!A200","跳转")</f>
        <v>跳转</v>
      </c>
    </row>
    <row r="322" spans="1:13" ht="21" customHeight="1">
      <c r="A322" s="418" t="s">
        <v>88</v>
      </c>
      <c r="B322" s="458" t="s">
        <v>1122</v>
      </c>
      <c r="C322" s="458"/>
      <c r="D322" s="458"/>
      <c r="E322" s="458"/>
      <c r="F322" s="458"/>
      <c r="G322" s="458"/>
      <c r="H322" s="458"/>
      <c r="I322" s="458"/>
      <c r="J322" s="458"/>
      <c r="K322" s="458"/>
      <c r="L322" s="458"/>
      <c r="M322" s="420" t="str">
        <f>HYPERLINK("#提取时分秒!A200","跳转")</f>
        <v>跳转</v>
      </c>
    </row>
    <row r="323" spans="1:13" ht="21" customHeight="1">
      <c r="A323" s="421" t="s">
        <v>165</v>
      </c>
      <c r="B323" s="453" t="s">
        <v>1123</v>
      </c>
      <c r="C323" s="453"/>
      <c r="D323" s="453"/>
      <c r="E323" s="453"/>
      <c r="F323" s="453"/>
      <c r="G323" s="453"/>
      <c r="H323" s="453"/>
      <c r="I323" s="453"/>
      <c r="J323" s="453"/>
      <c r="K323" s="453"/>
      <c r="L323" s="453"/>
      <c r="M323" s="422" t="str">
        <f>HYPERLINK("#计算幂级数与平方根!A1","跳转")</f>
        <v>跳转</v>
      </c>
    </row>
    <row r="324" spans="1:13" ht="21" customHeight="1">
      <c r="A324" s="418" t="s">
        <v>149</v>
      </c>
      <c r="B324" s="458" t="s">
        <v>1124</v>
      </c>
      <c r="C324" s="458"/>
      <c r="D324" s="458"/>
      <c r="E324" s="458"/>
      <c r="F324" s="458"/>
      <c r="G324" s="458"/>
      <c r="H324" s="458"/>
      <c r="I324" s="458"/>
      <c r="J324" s="458"/>
      <c r="K324" s="458"/>
      <c r="L324" s="458"/>
      <c r="M324" s="420" t="str">
        <f>HYPERLINK("#转换或检查符号!A100","跳转")</f>
        <v>跳转</v>
      </c>
    </row>
    <row r="325" spans="1:13" ht="21" customHeight="1">
      <c r="A325" s="421" t="s">
        <v>197</v>
      </c>
      <c r="B325" s="453" t="s">
        <v>1125</v>
      </c>
      <c r="C325" s="453"/>
      <c r="D325" s="453"/>
      <c r="E325" s="453"/>
      <c r="F325" s="453"/>
      <c r="G325" s="453"/>
      <c r="H325" s="453"/>
      <c r="I325" s="453"/>
      <c r="J325" s="453"/>
      <c r="K325" s="453"/>
      <c r="L325" s="453"/>
      <c r="M325" s="422" t="str">
        <f>HYPERLINK("#三角与反三角函数!A1","跳转")</f>
        <v>跳转</v>
      </c>
    </row>
    <row r="326" spans="1:13" ht="21" customHeight="1">
      <c r="A326" s="418" t="s">
        <v>215</v>
      </c>
      <c r="B326" s="458" t="s">
        <v>1126</v>
      </c>
      <c r="C326" s="458"/>
      <c r="D326" s="458"/>
      <c r="E326" s="458"/>
      <c r="F326" s="458"/>
      <c r="G326" s="458"/>
      <c r="H326" s="458"/>
      <c r="I326" s="458"/>
      <c r="J326" s="458"/>
      <c r="K326" s="458"/>
      <c r="L326" s="458"/>
      <c r="M326" s="420" t="str">
        <f>HYPERLINK("#双曲与反双曲函数!A1","跳转")</f>
        <v>跳转</v>
      </c>
    </row>
    <row r="327" spans="1:13" ht="25.5" customHeight="1">
      <c r="A327" s="421" t="s">
        <v>464</v>
      </c>
      <c r="B327" s="462" t="s">
        <v>1127</v>
      </c>
      <c r="C327" s="462"/>
      <c r="D327" s="462"/>
      <c r="E327" s="462"/>
      <c r="F327" s="462"/>
      <c r="G327" s="462"/>
      <c r="H327" s="462"/>
      <c r="I327" s="462"/>
      <c r="J327" s="462"/>
      <c r="K327" s="462"/>
      <c r="L327" s="462"/>
      <c r="M327" s="422" t="str">
        <f>HYPERLINK("#数据的标准化与比率和偏斜度!A200","跳转")</f>
        <v>跳转</v>
      </c>
    </row>
    <row r="328" spans="1:13" ht="21" customHeight="1">
      <c r="A328" s="418" t="s">
        <v>1128</v>
      </c>
      <c r="B328" s="458" t="s">
        <v>1129</v>
      </c>
      <c r="C328" s="458"/>
      <c r="D328" s="458"/>
      <c r="E328" s="458"/>
      <c r="F328" s="458"/>
      <c r="G328" s="458"/>
      <c r="H328" s="458"/>
      <c r="I328" s="458"/>
      <c r="J328" s="458"/>
      <c r="K328" s="458"/>
      <c r="L328" s="458"/>
      <c r="M328" s="420" t="str">
        <f>HYPERLINK("#计算折旧费!A1","跳转")</f>
        <v>跳转</v>
      </c>
    </row>
    <row r="329" spans="1:13" ht="28.5" customHeight="1">
      <c r="A329" s="421" t="s">
        <v>471</v>
      </c>
      <c r="B329" s="462" t="s">
        <v>1130</v>
      </c>
      <c r="C329" s="462"/>
      <c r="D329" s="462"/>
      <c r="E329" s="462"/>
      <c r="F329" s="462"/>
      <c r="G329" s="462"/>
      <c r="H329" s="462"/>
      <c r="I329" s="462"/>
      <c r="J329" s="462"/>
      <c r="K329" s="462"/>
      <c r="L329" s="462"/>
      <c r="M329" s="422" t="str">
        <f>HYPERLINK("#使用回归直曲线或指数回归进行的预测!A200","跳转")</f>
        <v>跳转</v>
      </c>
    </row>
    <row r="330" spans="1:13" ht="21" customHeight="1">
      <c r="A330" s="418" t="s">
        <v>424</v>
      </c>
      <c r="B330" s="458" t="s">
        <v>1131</v>
      </c>
      <c r="C330" s="458"/>
      <c r="D330" s="458"/>
      <c r="E330" s="458"/>
      <c r="F330" s="458"/>
      <c r="G330" s="458"/>
      <c r="H330" s="458"/>
      <c r="I330" s="458"/>
      <c r="J330" s="458"/>
      <c r="K330" s="458"/>
      <c r="L330" s="458"/>
      <c r="M330" s="420" t="str">
        <f>HYPERLINK("#计算位置!A100","跳转")</f>
        <v>跳转</v>
      </c>
    </row>
    <row r="331" spans="1:13" ht="21" customHeight="1">
      <c r="A331" s="435" t="s">
        <v>714</v>
      </c>
      <c r="B331" s="463" t="s">
        <v>1132</v>
      </c>
      <c r="C331" s="463"/>
      <c r="D331" s="463"/>
      <c r="E331" s="463"/>
      <c r="F331" s="463"/>
      <c r="G331" s="463"/>
      <c r="H331" s="463"/>
      <c r="I331" s="463"/>
      <c r="J331" s="463"/>
      <c r="K331" s="463"/>
      <c r="L331" s="463"/>
      <c r="M331" s="422" t="str">
        <f>HYPERLINK("#外部函数!A100","跳转")</f>
        <v>跳转</v>
      </c>
    </row>
    <row r="332" spans="1:13" ht="21" customHeight="1">
      <c r="A332" s="418" t="s">
        <v>168</v>
      </c>
      <c r="B332" s="458" t="s">
        <v>1133</v>
      </c>
      <c r="C332" s="458"/>
      <c r="D332" s="458"/>
      <c r="E332" s="458"/>
      <c r="F332" s="458"/>
      <c r="G332" s="458"/>
      <c r="H332" s="458"/>
      <c r="I332" s="458"/>
      <c r="J332" s="458"/>
      <c r="K332" s="458"/>
      <c r="L332" s="458"/>
      <c r="M332" s="420" t="str">
        <f>HYPERLINK("#计算幂级数与平方根!A100","跳转")</f>
        <v>跳转</v>
      </c>
    </row>
    <row r="333" spans="1:13" ht="21" customHeight="1">
      <c r="A333" s="421" t="s">
        <v>169</v>
      </c>
      <c r="B333" s="453" t="s">
        <v>1134</v>
      </c>
      <c r="C333" s="453"/>
      <c r="D333" s="453"/>
      <c r="E333" s="453"/>
      <c r="F333" s="453"/>
      <c r="G333" s="453"/>
      <c r="H333" s="453"/>
      <c r="I333" s="453"/>
      <c r="J333" s="453"/>
      <c r="K333" s="453"/>
      <c r="L333" s="453"/>
      <c r="M333" s="422" t="str">
        <f>HYPERLINK("#计算幂级数与平方根!A200","跳转")</f>
        <v>跳转</v>
      </c>
    </row>
    <row r="334" spans="1:13" ht="21" customHeight="1">
      <c r="A334" s="429" t="s">
        <v>459</v>
      </c>
      <c r="B334" s="458" t="s">
        <v>1135</v>
      </c>
      <c r="C334" s="458"/>
      <c r="D334" s="458"/>
      <c r="E334" s="458"/>
      <c r="F334" s="458"/>
      <c r="G334" s="458"/>
      <c r="H334" s="458"/>
      <c r="I334" s="458"/>
      <c r="J334" s="458"/>
      <c r="K334" s="458"/>
      <c r="L334" s="458"/>
      <c r="M334" s="420" t="str">
        <f>HYPERLINK("#数据的标准化与比率和偏斜度!A1","跳转")</f>
        <v>跳转</v>
      </c>
    </row>
    <row r="335" spans="1:13" ht="21" customHeight="1">
      <c r="A335" s="421" t="s">
        <v>447</v>
      </c>
      <c r="B335" s="453" t="s">
        <v>1136</v>
      </c>
      <c r="C335" s="453"/>
      <c r="D335" s="453"/>
      <c r="E335" s="453"/>
      <c r="F335" s="453"/>
      <c r="G335" s="453"/>
      <c r="H335" s="453"/>
      <c r="I335" s="453"/>
      <c r="J335" s="453"/>
      <c r="K335" s="453"/>
      <c r="L335" s="453"/>
      <c r="M335" s="422" t="str">
        <f>HYPERLINK("#计算标准偏差!A1","跳转")</f>
        <v>跳转</v>
      </c>
    </row>
    <row r="336" spans="1:13" ht="21" customHeight="1">
      <c r="A336" s="418" t="s">
        <v>449</v>
      </c>
      <c r="B336" s="461" t="s">
        <v>1137</v>
      </c>
      <c r="C336" s="461"/>
      <c r="D336" s="461"/>
      <c r="E336" s="461"/>
      <c r="F336" s="461"/>
      <c r="G336" s="461"/>
      <c r="H336" s="461"/>
      <c r="I336" s="461"/>
      <c r="J336" s="461"/>
      <c r="K336" s="461"/>
      <c r="L336" s="461"/>
      <c r="M336" s="420" t="str">
        <f>HYPERLINK("#计算标准偏差!A100","跳转")</f>
        <v>跳转</v>
      </c>
    </row>
    <row r="337" spans="1:13" ht="21" customHeight="1">
      <c r="A337" s="421" t="s">
        <v>450</v>
      </c>
      <c r="B337" s="453" t="s">
        <v>1138</v>
      </c>
      <c r="C337" s="453"/>
      <c r="D337" s="453"/>
      <c r="E337" s="453"/>
      <c r="F337" s="453"/>
      <c r="G337" s="453"/>
      <c r="H337" s="453"/>
      <c r="I337" s="453"/>
      <c r="J337" s="453"/>
      <c r="K337" s="453"/>
      <c r="L337" s="453"/>
      <c r="M337" s="422" t="str">
        <f>HYPERLINK("#计算标准偏差!A200","跳转")</f>
        <v>跳转</v>
      </c>
    </row>
    <row r="338" spans="1:13" ht="21" customHeight="1">
      <c r="A338" s="418" t="s">
        <v>452</v>
      </c>
      <c r="B338" s="458" t="s">
        <v>1139</v>
      </c>
      <c r="C338" s="458"/>
      <c r="D338" s="458"/>
      <c r="E338" s="458"/>
      <c r="F338" s="458"/>
      <c r="G338" s="458"/>
      <c r="H338" s="458"/>
      <c r="I338" s="458"/>
      <c r="J338" s="458"/>
      <c r="K338" s="458"/>
      <c r="L338" s="458"/>
      <c r="M338" s="420" t="str">
        <f>HYPERLINK("#计算标准偏差!A300","跳转")</f>
        <v>跳转</v>
      </c>
    </row>
    <row r="339" spans="1:13" ht="21" customHeight="1">
      <c r="A339" s="421" t="s">
        <v>477</v>
      </c>
      <c r="B339" s="453" t="s">
        <v>1140</v>
      </c>
      <c r="C339" s="453"/>
      <c r="D339" s="453"/>
      <c r="E339" s="453"/>
      <c r="F339" s="453"/>
      <c r="G339" s="453"/>
      <c r="H339" s="453"/>
      <c r="I339" s="453"/>
      <c r="J339" s="453"/>
      <c r="K339" s="453"/>
      <c r="L339" s="453"/>
      <c r="M339" s="422" t="str">
        <f>HYPERLINK("#使用回归直曲线或指数回归进行的预测!A500","跳转")</f>
        <v>跳转</v>
      </c>
    </row>
    <row r="340" spans="1:13" ht="21" customHeight="1">
      <c r="A340" s="418" t="s">
        <v>346</v>
      </c>
      <c r="B340" s="458" t="s">
        <v>1141</v>
      </c>
      <c r="C340" s="458"/>
      <c r="D340" s="458"/>
      <c r="E340" s="458"/>
      <c r="F340" s="458"/>
      <c r="G340" s="458"/>
      <c r="H340" s="458"/>
      <c r="I340" s="458"/>
      <c r="J340" s="458"/>
      <c r="K340" s="458"/>
      <c r="L340" s="458"/>
      <c r="M340" s="420" t="str">
        <f>HYPERLINK("#替换文本!A1","跳转")</f>
        <v>跳转</v>
      </c>
    </row>
    <row r="341" spans="1:13" ht="21" customHeight="1">
      <c r="A341" s="421" t="s">
        <v>114</v>
      </c>
      <c r="B341" s="453" t="s">
        <v>1142</v>
      </c>
      <c r="C341" s="453"/>
      <c r="D341" s="453"/>
      <c r="E341" s="453"/>
      <c r="F341" s="453"/>
      <c r="G341" s="453"/>
      <c r="H341" s="453"/>
      <c r="I341" s="453"/>
      <c r="J341" s="453"/>
      <c r="K341" s="453"/>
      <c r="L341" s="453"/>
      <c r="M341" s="422" t="str">
        <f>HYPERLINK("#SUBTOTAL!A1","跳转")</f>
        <v>跳转</v>
      </c>
    </row>
    <row r="342" spans="1:13" ht="21" customHeight="1">
      <c r="A342" s="418" t="s">
        <v>92</v>
      </c>
      <c r="B342" s="458" t="s">
        <v>95</v>
      </c>
      <c r="C342" s="458"/>
      <c r="D342" s="458"/>
      <c r="E342" s="458"/>
      <c r="F342" s="458"/>
      <c r="G342" s="458"/>
      <c r="H342" s="458"/>
      <c r="I342" s="458"/>
      <c r="J342" s="458"/>
      <c r="K342" s="458"/>
      <c r="L342" s="458"/>
      <c r="M342" s="420" t="str">
        <f>HYPERLINK("#"&amp;A342&amp;"!A1","跳转")</f>
        <v>跳转</v>
      </c>
    </row>
    <row r="343" spans="1:13" ht="21" customHeight="1">
      <c r="A343" s="421" t="s">
        <v>94</v>
      </c>
      <c r="B343" s="453" t="s">
        <v>1143</v>
      </c>
      <c r="C343" s="453"/>
      <c r="D343" s="453"/>
      <c r="E343" s="453"/>
      <c r="F343" s="453"/>
      <c r="G343" s="453"/>
      <c r="H343" s="453"/>
      <c r="I343" s="453"/>
      <c r="J343" s="453"/>
      <c r="K343" s="453"/>
      <c r="L343" s="453"/>
      <c r="M343" s="422" t="str">
        <f>HYPERLINK("#"&amp;A343&amp;"!A1","跳转")</f>
        <v>跳转</v>
      </c>
    </row>
    <row r="344" spans="1:13" ht="21" customHeight="1">
      <c r="A344" s="418" t="s">
        <v>101</v>
      </c>
      <c r="B344" s="458" t="s">
        <v>1144</v>
      </c>
      <c r="C344" s="458"/>
      <c r="D344" s="458"/>
      <c r="E344" s="458"/>
      <c r="F344" s="458"/>
      <c r="G344" s="458"/>
      <c r="H344" s="458"/>
      <c r="I344" s="458"/>
      <c r="J344" s="458"/>
      <c r="K344" s="458"/>
      <c r="L344" s="458"/>
      <c r="M344" s="420" t="str">
        <f>HYPERLINK("#"&amp;A344&amp;"!A1","跳转")</f>
        <v>跳转</v>
      </c>
    </row>
    <row r="345" spans="1:13" ht="21" customHeight="1">
      <c r="A345" s="421" t="s">
        <v>103</v>
      </c>
      <c r="B345" s="453" t="s">
        <v>1145</v>
      </c>
      <c r="C345" s="453"/>
      <c r="D345" s="453"/>
      <c r="E345" s="453"/>
      <c r="F345" s="453"/>
      <c r="G345" s="453"/>
      <c r="H345" s="453"/>
      <c r="I345" s="453"/>
      <c r="J345" s="453"/>
      <c r="K345" s="453"/>
      <c r="L345" s="453"/>
      <c r="M345" s="422" t="str">
        <f>HYPERLINK("#"&amp;A345&amp;"!A1","跳转")</f>
        <v>跳转</v>
      </c>
    </row>
    <row r="346" spans="1:13" ht="21" customHeight="1">
      <c r="A346" s="418" t="s">
        <v>108</v>
      </c>
      <c r="B346" s="458" t="s">
        <v>1146</v>
      </c>
      <c r="C346" s="458"/>
      <c r="D346" s="458"/>
      <c r="E346" s="458"/>
      <c r="F346" s="458"/>
      <c r="G346" s="458"/>
      <c r="H346" s="458"/>
      <c r="I346" s="458"/>
      <c r="J346" s="458"/>
      <c r="K346" s="458"/>
      <c r="L346" s="458"/>
      <c r="M346" s="420" t="str">
        <f>HYPERLINK("#数组的平方计算!A100","跳转")</f>
        <v>跳转</v>
      </c>
    </row>
    <row r="347" spans="1:13" ht="21" customHeight="1">
      <c r="A347" s="421" t="s">
        <v>106</v>
      </c>
      <c r="B347" s="453" t="s">
        <v>1147</v>
      </c>
      <c r="C347" s="453"/>
      <c r="D347" s="453"/>
      <c r="E347" s="453"/>
      <c r="F347" s="453"/>
      <c r="G347" s="453"/>
      <c r="H347" s="453"/>
      <c r="I347" s="453"/>
      <c r="J347" s="453"/>
      <c r="K347" s="453"/>
      <c r="L347" s="453"/>
      <c r="M347" s="422" t="str">
        <f>HYPERLINK("#数组的平方计算!A1","跳转")</f>
        <v>跳转</v>
      </c>
    </row>
    <row r="348" spans="1:13" ht="21" customHeight="1">
      <c r="A348" s="418" t="s">
        <v>110</v>
      </c>
      <c r="B348" s="458" t="s">
        <v>1148</v>
      </c>
      <c r="C348" s="458"/>
      <c r="D348" s="458"/>
      <c r="E348" s="458"/>
      <c r="F348" s="458"/>
      <c r="G348" s="458"/>
      <c r="H348" s="458"/>
      <c r="I348" s="458"/>
      <c r="J348" s="458"/>
      <c r="K348" s="458"/>
      <c r="L348" s="458"/>
      <c r="M348" s="420" t="str">
        <f>HYPERLINK("#数组的平方计算!A200","跳转")</f>
        <v>跳转</v>
      </c>
    </row>
    <row r="349" spans="1:13" ht="21" customHeight="1">
      <c r="A349" s="421" t="s">
        <v>1149</v>
      </c>
      <c r="B349" s="459" t="s">
        <v>1150</v>
      </c>
      <c r="C349" s="459"/>
      <c r="D349" s="459"/>
      <c r="E349" s="459"/>
      <c r="F349" s="459"/>
      <c r="G349" s="459"/>
      <c r="H349" s="459"/>
      <c r="I349" s="459"/>
      <c r="J349" s="459"/>
      <c r="K349" s="459"/>
      <c r="L349" s="459"/>
      <c r="M349" s="430" t="str">
        <f>HYPERLINK("#计算折旧费!A400","跳转")</f>
        <v>跳转</v>
      </c>
    </row>
    <row r="350" spans="1:13" ht="21" customHeight="1">
      <c r="A350" s="431"/>
      <c r="B350" s="455"/>
      <c r="C350" s="456"/>
      <c r="D350" s="456"/>
      <c r="E350" s="456"/>
      <c r="F350" s="456"/>
      <c r="G350" s="456"/>
      <c r="H350" s="456"/>
      <c r="I350" s="456"/>
      <c r="J350" s="456"/>
      <c r="K350" s="456"/>
      <c r="L350" s="456"/>
      <c r="M350" s="456"/>
    </row>
    <row r="351" spans="1:13" ht="21" customHeight="1">
      <c r="A351" s="416" t="s">
        <v>1151</v>
      </c>
      <c r="B351" s="417" t="str">
        <f>HYPERLINK("#A3","跳转首行")</f>
        <v>跳转首行</v>
      </c>
      <c r="C351" s="457" t="s">
        <v>720</v>
      </c>
      <c r="D351" s="457"/>
      <c r="E351" s="457"/>
      <c r="F351" s="457"/>
      <c r="G351" s="457"/>
      <c r="H351" s="457"/>
      <c r="I351" s="457"/>
      <c r="J351" s="457"/>
      <c r="K351" s="457"/>
      <c r="L351" s="457"/>
      <c r="M351" s="457"/>
    </row>
    <row r="352" spans="1:13" ht="21" customHeight="1">
      <c r="A352" s="418" t="s">
        <v>384</v>
      </c>
      <c r="B352" s="458" t="s">
        <v>1152</v>
      </c>
      <c r="C352" s="458"/>
      <c r="D352" s="458"/>
      <c r="E352" s="458"/>
      <c r="F352" s="458"/>
      <c r="G352" s="458"/>
      <c r="H352" s="458"/>
      <c r="I352" s="458"/>
      <c r="J352" s="458"/>
      <c r="K352" s="458"/>
      <c r="L352" s="458"/>
      <c r="M352" s="420" t="str">
        <f>HYPERLINK("#检查重复返回文本!A200","跳转")</f>
        <v>跳转</v>
      </c>
    </row>
    <row r="353" spans="1:13" ht="21" customHeight="1">
      <c r="A353" s="421" t="s">
        <v>201</v>
      </c>
      <c r="B353" s="453" t="s">
        <v>1153</v>
      </c>
      <c r="C353" s="453"/>
      <c r="D353" s="453"/>
      <c r="E353" s="453"/>
      <c r="F353" s="453"/>
      <c r="G353" s="453"/>
      <c r="H353" s="453"/>
      <c r="I353" s="453"/>
      <c r="J353" s="453"/>
      <c r="K353" s="453"/>
      <c r="L353" s="453"/>
      <c r="M353" s="422" t="str">
        <f>HYPERLINK("#三角与反三角函数!A200","跳转")</f>
        <v>跳转</v>
      </c>
    </row>
    <row r="354" spans="1:13" ht="21" customHeight="1">
      <c r="A354" s="418" t="s">
        <v>219</v>
      </c>
      <c r="B354" s="458" t="s">
        <v>1154</v>
      </c>
      <c r="C354" s="458"/>
      <c r="D354" s="458"/>
      <c r="E354" s="458"/>
      <c r="F354" s="458"/>
      <c r="G354" s="458"/>
      <c r="H354" s="458"/>
      <c r="I354" s="458"/>
      <c r="J354" s="458"/>
      <c r="K354" s="458"/>
      <c r="L354" s="458"/>
      <c r="M354" s="420" t="str">
        <f>HYPERLINK("#双曲与反双曲函数!A200","跳转")</f>
        <v>跳转</v>
      </c>
    </row>
    <row r="355" spans="1:13" ht="21" customHeight="1">
      <c r="A355" s="421" t="s">
        <v>1155</v>
      </c>
      <c r="B355" s="453" t="s">
        <v>1156</v>
      </c>
      <c r="C355" s="453"/>
      <c r="D355" s="453"/>
      <c r="E355" s="453"/>
      <c r="F355" s="453"/>
      <c r="G355" s="453"/>
      <c r="H355" s="453"/>
      <c r="I355" s="453"/>
      <c r="J355" s="453"/>
      <c r="K355" s="453"/>
      <c r="L355" s="453"/>
      <c r="M355" s="422" t="str">
        <f>HYPERLINK("#美国财务省的短期证券!A100","跳转")</f>
        <v>跳转</v>
      </c>
    </row>
    <row r="356" spans="1:13" ht="21" customHeight="1">
      <c r="A356" s="418" t="s">
        <v>1157</v>
      </c>
      <c r="B356" s="458" t="s">
        <v>1158</v>
      </c>
      <c r="C356" s="458"/>
      <c r="D356" s="458"/>
      <c r="E356" s="458"/>
      <c r="F356" s="458"/>
      <c r="G356" s="458"/>
      <c r="H356" s="458"/>
      <c r="I356" s="458"/>
      <c r="J356" s="458"/>
      <c r="K356" s="458"/>
      <c r="L356" s="458"/>
      <c r="M356" s="420" t="str">
        <f>HYPERLINK("#美国财务省的短期证券!A200","跳转")</f>
        <v>跳转</v>
      </c>
    </row>
    <row r="357" spans="1:13" ht="21" customHeight="1">
      <c r="A357" s="421" t="s">
        <v>1159</v>
      </c>
      <c r="B357" s="453" t="s">
        <v>1160</v>
      </c>
      <c r="C357" s="453"/>
      <c r="D357" s="453"/>
      <c r="E357" s="453"/>
      <c r="F357" s="453"/>
      <c r="G357" s="453"/>
      <c r="H357" s="453"/>
      <c r="I357" s="453"/>
      <c r="J357" s="453"/>
      <c r="K357" s="453"/>
      <c r="L357" s="453"/>
      <c r="M357" s="422" t="str">
        <f>HYPERLINK("#美国财务省的短期证券!A1","跳转")</f>
        <v>跳转</v>
      </c>
    </row>
    <row r="358" spans="1:13" ht="21" customHeight="1">
      <c r="A358" s="418" t="s">
        <v>1161</v>
      </c>
      <c r="B358" s="458" t="s">
        <v>1162</v>
      </c>
      <c r="C358" s="458"/>
      <c r="D358" s="458"/>
      <c r="E358" s="458"/>
      <c r="F358" s="458"/>
      <c r="G358" s="458"/>
      <c r="H358" s="458"/>
      <c r="I358" s="458"/>
      <c r="J358" s="458"/>
      <c r="K358" s="458"/>
      <c r="L358" s="458"/>
      <c r="M358" s="420" t="str">
        <f>HYPERLINK("#t分布与检验!A1","跳转")</f>
        <v>跳转</v>
      </c>
    </row>
    <row r="359" spans="1:13" ht="21" customHeight="1">
      <c r="A359" s="421" t="s">
        <v>371</v>
      </c>
      <c r="B359" s="453" t="s">
        <v>1163</v>
      </c>
      <c r="C359" s="453"/>
      <c r="D359" s="453"/>
      <c r="E359" s="453"/>
      <c r="F359" s="453"/>
      <c r="G359" s="453"/>
      <c r="H359" s="453"/>
      <c r="I359" s="453"/>
      <c r="J359" s="453"/>
      <c r="K359" s="453"/>
      <c r="L359" s="453"/>
      <c r="M359" s="422" t="str">
        <f>HYPERLINK("#TEXT!A1","跳转")</f>
        <v>跳转</v>
      </c>
    </row>
    <row r="360" spans="1:13" ht="21" customHeight="1">
      <c r="A360" s="418" t="s">
        <v>63</v>
      </c>
      <c r="B360" s="458" t="s">
        <v>1164</v>
      </c>
      <c r="C360" s="458"/>
      <c r="D360" s="458"/>
      <c r="E360" s="458"/>
      <c r="F360" s="458"/>
      <c r="G360" s="458"/>
      <c r="H360" s="458"/>
      <c r="I360" s="458"/>
      <c r="J360" s="458"/>
      <c r="K360" s="458"/>
      <c r="L360" s="458"/>
      <c r="M360" s="420" t="str">
        <f>HYPERLINK("#计算日期时间的数值!A200","跳转")</f>
        <v>跳转</v>
      </c>
    </row>
    <row r="361" spans="1:13" ht="21" customHeight="1">
      <c r="A361" s="421" t="s">
        <v>65</v>
      </c>
      <c r="B361" s="453" t="s">
        <v>1165</v>
      </c>
      <c r="C361" s="453"/>
      <c r="D361" s="453"/>
      <c r="E361" s="453"/>
      <c r="F361" s="453"/>
      <c r="G361" s="453"/>
      <c r="H361" s="453"/>
      <c r="I361" s="453"/>
      <c r="J361" s="453"/>
      <c r="K361" s="453"/>
      <c r="L361" s="453"/>
      <c r="M361" s="422" t="str">
        <f>HYPERLINK("#计算日期时间的数值!A300","跳转")</f>
        <v>跳转</v>
      </c>
    </row>
    <row r="362" spans="1:13" ht="21" customHeight="1">
      <c r="A362" s="418" t="s">
        <v>1166</v>
      </c>
      <c r="B362" s="458" t="s">
        <v>1167</v>
      </c>
      <c r="C362" s="458"/>
      <c r="D362" s="458"/>
      <c r="E362" s="458"/>
      <c r="F362" s="458"/>
      <c r="G362" s="458"/>
      <c r="H362" s="458"/>
      <c r="I362" s="458"/>
      <c r="J362" s="458"/>
      <c r="K362" s="458"/>
      <c r="L362" s="458"/>
      <c r="M362" s="420" t="str">
        <f>HYPERLINK("#t分布与检验!A100","跳转")</f>
        <v>跳转</v>
      </c>
    </row>
    <row r="363" spans="1:13" ht="21" customHeight="1">
      <c r="A363" s="421" t="s">
        <v>69</v>
      </c>
      <c r="B363" s="453" t="s">
        <v>1168</v>
      </c>
      <c r="C363" s="453"/>
      <c r="D363" s="453"/>
      <c r="E363" s="453"/>
      <c r="F363" s="453"/>
      <c r="G363" s="453"/>
      <c r="H363" s="453"/>
      <c r="I363" s="453"/>
      <c r="J363" s="453"/>
      <c r="K363" s="453"/>
      <c r="L363" s="453"/>
      <c r="M363" s="422" t="str">
        <f>HYPERLINK("#TODAY与NOW!A1","跳转")</f>
        <v>跳转</v>
      </c>
    </row>
    <row r="364" spans="1:13" ht="21" customHeight="1">
      <c r="A364" s="418" t="s">
        <v>296</v>
      </c>
      <c r="B364" s="458" t="s">
        <v>1169</v>
      </c>
      <c r="C364" s="458"/>
      <c r="D364" s="458"/>
      <c r="E364" s="458"/>
      <c r="F364" s="458"/>
      <c r="G364" s="458"/>
      <c r="H364" s="458"/>
      <c r="I364" s="458"/>
      <c r="J364" s="458"/>
      <c r="K364" s="458"/>
      <c r="L364" s="458"/>
      <c r="M364" s="420" t="str">
        <f>HYPERLINK("#"&amp;A364&amp;"!A1","跳转")</f>
        <v>跳转</v>
      </c>
    </row>
    <row r="365" spans="1:13" ht="21" customHeight="1">
      <c r="A365" s="421" t="s">
        <v>469</v>
      </c>
      <c r="B365" s="453" t="s">
        <v>1170</v>
      </c>
      <c r="C365" s="453"/>
      <c r="D365" s="453"/>
      <c r="E365" s="453"/>
      <c r="F365" s="453"/>
      <c r="G365" s="453"/>
      <c r="H365" s="453"/>
      <c r="I365" s="453"/>
      <c r="J365" s="453"/>
      <c r="K365" s="453"/>
      <c r="L365" s="453"/>
      <c r="M365" s="422" t="str">
        <f>HYPERLINK("#使用回归直曲线或指数回归进行的预测!A100","跳转")</f>
        <v>跳转</v>
      </c>
    </row>
    <row r="366" spans="1:13" ht="21" customHeight="1">
      <c r="A366" s="418" t="s">
        <v>353</v>
      </c>
      <c r="B366" s="458" t="s">
        <v>1171</v>
      </c>
      <c r="C366" s="458"/>
      <c r="D366" s="458"/>
      <c r="E366" s="458"/>
      <c r="F366" s="458"/>
      <c r="G366" s="458"/>
      <c r="H366" s="458"/>
      <c r="I366" s="458"/>
      <c r="J366" s="458"/>
      <c r="K366" s="458"/>
      <c r="L366" s="458"/>
      <c r="M366" s="420" t="str">
        <f>HYPERLINK("#删除多余的字符!A1","跳转")</f>
        <v>跳转</v>
      </c>
    </row>
    <row r="367" spans="1:13" ht="21" customHeight="1">
      <c r="A367" s="421" t="s">
        <v>401</v>
      </c>
      <c r="B367" s="453" t="s">
        <v>1172</v>
      </c>
      <c r="C367" s="453"/>
      <c r="D367" s="453"/>
      <c r="E367" s="453"/>
      <c r="F367" s="453"/>
      <c r="G367" s="453"/>
      <c r="H367" s="453"/>
      <c r="I367" s="453"/>
      <c r="J367" s="453"/>
      <c r="K367" s="453"/>
      <c r="L367" s="453"/>
      <c r="M367" s="422" t="str">
        <f>HYPERLINK("#TRIMMEAN!A1","跳转")</f>
        <v>跳转</v>
      </c>
    </row>
    <row r="368" spans="1:13" ht="21" customHeight="1">
      <c r="A368" s="419" t="b">
        <v>1</v>
      </c>
      <c r="B368" s="458" t="s">
        <v>1173</v>
      </c>
      <c r="C368" s="458"/>
      <c r="D368" s="458"/>
      <c r="E368" s="458"/>
      <c r="F368" s="458"/>
      <c r="G368" s="458"/>
      <c r="H368" s="458"/>
      <c r="I368" s="458"/>
      <c r="J368" s="458"/>
      <c r="K368" s="458"/>
      <c r="L368" s="458"/>
      <c r="M368" s="420" t="str">
        <f>HYPERLINK("#表示逻辑值!A1","跳转")</f>
        <v>跳转</v>
      </c>
    </row>
    <row r="369" spans="1:13" ht="21" customHeight="1">
      <c r="A369" s="421" t="s">
        <v>118</v>
      </c>
      <c r="B369" s="453" t="s">
        <v>1174</v>
      </c>
      <c r="C369" s="453"/>
      <c r="D369" s="453"/>
      <c r="E369" s="453"/>
      <c r="F369" s="453"/>
      <c r="G369" s="453"/>
      <c r="H369" s="453"/>
      <c r="I369" s="453"/>
      <c r="J369" s="453"/>
      <c r="K369" s="453"/>
      <c r="L369" s="453"/>
      <c r="M369" s="422" t="str">
        <f>HYPERLINK("#数值舍入取整!A100","跳转")</f>
        <v>跳转</v>
      </c>
    </row>
    <row r="370" spans="1:13" ht="21" customHeight="1">
      <c r="A370" s="418" t="s">
        <v>1175</v>
      </c>
      <c r="B370" s="458" t="s">
        <v>1176</v>
      </c>
      <c r="C370" s="458"/>
      <c r="D370" s="458"/>
      <c r="E370" s="458"/>
      <c r="F370" s="458"/>
      <c r="G370" s="458"/>
      <c r="H370" s="458"/>
      <c r="I370" s="458"/>
      <c r="J370" s="458"/>
      <c r="K370" s="458"/>
      <c r="L370" s="458"/>
      <c r="M370" s="420" t="str">
        <f>HYPERLINK("#t分布与检验!A200","跳转")</f>
        <v>跳转</v>
      </c>
    </row>
    <row r="371" spans="1:13" ht="21" customHeight="1">
      <c r="A371" s="421" t="s">
        <v>1177</v>
      </c>
      <c r="B371" s="459" t="s">
        <v>1178</v>
      </c>
      <c r="C371" s="459"/>
      <c r="D371" s="459"/>
      <c r="E371" s="459"/>
      <c r="F371" s="459"/>
      <c r="G371" s="459"/>
      <c r="H371" s="459"/>
      <c r="I371" s="459"/>
      <c r="J371" s="459"/>
      <c r="K371" s="459"/>
      <c r="L371" s="459"/>
      <c r="M371" s="430" t="str">
        <f>HYPERLINK("#查看数据型或错误值!A100","跳转")</f>
        <v>跳转</v>
      </c>
    </row>
    <row r="372" spans="1:13" ht="21" customHeight="1">
      <c r="A372" s="431"/>
      <c r="B372" s="460"/>
      <c r="C372" s="460"/>
      <c r="D372" s="460"/>
      <c r="E372" s="460"/>
      <c r="F372" s="460"/>
      <c r="G372" s="460"/>
      <c r="H372" s="460"/>
      <c r="I372" s="460"/>
      <c r="J372" s="460"/>
      <c r="K372" s="460"/>
      <c r="L372" s="460"/>
      <c r="M372" s="460"/>
    </row>
    <row r="373" spans="1:13" ht="21" customHeight="1">
      <c r="A373" s="416" t="s">
        <v>1179</v>
      </c>
      <c r="B373" s="417" t="str">
        <f>HYPERLINK("#A3","跳转首行")</f>
        <v>跳转首行</v>
      </c>
      <c r="C373" s="457" t="s">
        <v>720</v>
      </c>
      <c r="D373" s="457"/>
      <c r="E373" s="457"/>
      <c r="F373" s="457"/>
      <c r="G373" s="457"/>
      <c r="H373" s="457"/>
      <c r="I373" s="457"/>
      <c r="J373" s="457"/>
      <c r="K373" s="457"/>
      <c r="L373" s="457"/>
      <c r="M373" s="457"/>
    </row>
    <row r="374" spans="1:13" ht="21" customHeight="1">
      <c r="A374" s="418" t="s">
        <v>309</v>
      </c>
      <c r="B374" s="454" t="s">
        <v>1180</v>
      </c>
      <c r="C374" s="454"/>
      <c r="D374" s="454"/>
      <c r="E374" s="454"/>
      <c r="F374" s="454"/>
      <c r="G374" s="454"/>
      <c r="H374" s="454"/>
      <c r="I374" s="454"/>
      <c r="J374" s="454"/>
      <c r="K374" s="454"/>
      <c r="L374" s="454"/>
      <c r="M374" s="423" t="str">
        <f>HYPERLINK("#大小写字母转换!A1","跳转")</f>
        <v>跳转</v>
      </c>
    </row>
    <row r="375" spans="1:13" ht="21" customHeight="1">
      <c r="A375" s="62"/>
      <c r="B375" s="455"/>
      <c r="C375" s="456"/>
      <c r="D375" s="456"/>
      <c r="E375" s="456"/>
      <c r="F375" s="456"/>
      <c r="G375" s="456"/>
      <c r="H375" s="456"/>
      <c r="I375" s="456"/>
      <c r="J375" s="456"/>
      <c r="K375" s="456"/>
      <c r="L375" s="456"/>
      <c r="M375" s="456"/>
    </row>
    <row r="376" spans="1:13" ht="21" customHeight="1">
      <c r="A376" s="416" t="s">
        <v>1181</v>
      </c>
      <c r="B376" s="417" t="str">
        <f>HYPERLINK("#A3","跳转首行")</f>
        <v>跳转首行</v>
      </c>
      <c r="C376" s="457" t="s">
        <v>720</v>
      </c>
      <c r="D376" s="457"/>
      <c r="E376" s="457"/>
      <c r="F376" s="457"/>
      <c r="G376" s="457"/>
      <c r="H376" s="457"/>
      <c r="I376" s="457"/>
      <c r="J376" s="457"/>
      <c r="K376" s="457"/>
      <c r="L376" s="457"/>
      <c r="M376" s="457"/>
    </row>
    <row r="377" spans="1:13" ht="21" customHeight="1">
      <c r="A377" s="418" t="s">
        <v>316</v>
      </c>
      <c r="B377" s="458" t="s">
        <v>1182</v>
      </c>
      <c r="C377" s="458"/>
      <c r="D377" s="458"/>
      <c r="E377" s="458"/>
      <c r="F377" s="458"/>
      <c r="G377" s="458"/>
      <c r="H377" s="458"/>
      <c r="I377" s="458"/>
      <c r="J377" s="458"/>
      <c r="K377" s="458"/>
      <c r="L377" s="458"/>
      <c r="M377" s="420" t="str">
        <f>HYPERLINK("#文本转换计算合并!A1","跳转")</f>
        <v>跳转</v>
      </c>
    </row>
    <row r="378" spans="1:13" ht="21" customHeight="1">
      <c r="A378" s="421" t="s">
        <v>438</v>
      </c>
      <c r="B378" s="453" t="s">
        <v>1183</v>
      </c>
      <c r="C378" s="453"/>
      <c r="D378" s="453"/>
      <c r="E378" s="453"/>
      <c r="F378" s="453"/>
      <c r="G378" s="453"/>
      <c r="H378" s="453"/>
      <c r="I378" s="453"/>
      <c r="J378" s="453"/>
      <c r="K378" s="453"/>
      <c r="L378" s="453"/>
      <c r="M378" s="422" t="str">
        <f>HYPERLINK("#计算方差!A1","跳转")</f>
        <v>跳转</v>
      </c>
    </row>
    <row r="379" spans="1:13" ht="21" customHeight="1">
      <c r="A379" s="418" t="s">
        <v>440</v>
      </c>
      <c r="B379" s="458" t="s">
        <v>1184</v>
      </c>
      <c r="C379" s="458"/>
      <c r="D379" s="458"/>
      <c r="E379" s="458"/>
      <c r="F379" s="458"/>
      <c r="G379" s="458"/>
      <c r="H379" s="458"/>
      <c r="I379" s="458"/>
      <c r="J379" s="458"/>
      <c r="K379" s="458"/>
      <c r="L379" s="458"/>
      <c r="M379" s="420" t="str">
        <f>HYPERLINK("#计算方差!A100","跳转")</f>
        <v>跳转</v>
      </c>
    </row>
    <row r="380" spans="1:13" ht="21" customHeight="1">
      <c r="A380" s="421" t="s">
        <v>442</v>
      </c>
      <c r="B380" s="453" t="s">
        <v>1185</v>
      </c>
      <c r="C380" s="453"/>
      <c r="D380" s="453"/>
      <c r="E380" s="453"/>
      <c r="F380" s="453"/>
      <c r="G380" s="453"/>
      <c r="H380" s="453"/>
      <c r="I380" s="453"/>
      <c r="J380" s="453"/>
      <c r="K380" s="453"/>
      <c r="L380" s="453"/>
      <c r="M380" s="422" t="str">
        <f>HYPERLINK("#计算方差!A200","跳转")</f>
        <v>跳转</v>
      </c>
    </row>
    <row r="381" spans="1:13" ht="21" customHeight="1">
      <c r="A381" s="418" t="s">
        <v>444</v>
      </c>
      <c r="B381" s="458" t="s">
        <v>1185</v>
      </c>
      <c r="C381" s="458"/>
      <c r="D381" s="458"/>
      <c r="E381" s="458"/>
      <c r="F381" s="458"/>
      <c r="G381" s="458"/>
      <c r="H381" s="458"/>
      <c r="I381" s="458"/>
      <c r="J381" s="458"/>
      <c r="K381" s="458"/>
      <c r="L381" s="458"/>
      <c r="M381" s="420" t="str">
        <f>HYPERLINK("#计算方差!A300","跳转")</f>
        <v>跳转</v>
      </c>
    </row>
    <row r="382" spans="1:13" ht="21" customHeight="1">
      <c r="A382" s="421" t="s">
        <v>1186</v>
      </c>
      <c r="B382" s="453" t="s">
        <v>1187</v>
      </c>
      <c r="C382" s="453"/>
      <c r="D382" s="453"/>
      <c r="E382" s="453"/>
      <c r="F382" s="453"/>
      <c r="G382" s="453"/>
      <c r="H382" s="453"/>
      <c r="I382" s="453"/>
      <c r="J382" s="453"/>
      <c r="K382" s="453"/>
      <c r="L382" s="453"/>
      <c r="M382" s="422" t="str">
        <f>HYPERLINK("#计算折旧费!A300","跳转")</f>
        <v>跳转</v>
      </c>
    </row>
    <row r="383" spans="1:13" ht="21" customHeight="1">
      <c r="A383" s="418" t="s">
        <v>260</v>
      </c>
      <c r="B383" s="454" t="s">
        <v>1188</v>
      </c>
      <c r="C383" s="454"/>
      <c r="D383" s="454"/>
      <c r="E383" s="454"/>
      <c r="F383" s="454"/>
      <c r="G383" s="454"/>
      <c r="H383" s="454"/>
      <c r="I383" s="454"/>
      <c r="J383" s="454"/>
      <c r="K383" s="454"/>
      <c r="L383" s="454"/>
      <c r="M383" s="423" t="str">
        <f>HYPERLINK("#"&amp;A383&amp;"!A1","跳转")</f>
        <v>跳转</v>
      </c>
    </row>
    <row r="384" spans="1:13" ht="21" customHeight="1">
      <c r="A384" s="62"/>
      <c r="B384" s="455"/>
      <c r="C384" s="456"/>
      <c r="D384" s="456"/>
      <c r="E384" s="456"/>
      <c r="F384" s="456"/>
      <c r="G384" s="456"/>
      <c r="H384" s="456"/>
      <c r="I384" s="456"/>
      <c r="J384" s="456"/>
      <c r="K384" s="456"/>
      <c r="L384" s="456"/>
      <c r="M384" s="456"/>
    </row>
    <row r="385" spans="1:13" ht="21" customHeight="1">
      <c r="A385" s="416" t="s">
        <v>1189</v>
      </c>
      <c r="B385" s="417" t="str">
        <f>HYPERLINK("#A3","跳转首行")</f>
        <v>跳转首行</v>
      </c>
      <c r="C385" s="457" t="s">
        <v>720</v>
      </c>
      <c r="D385" s="457"/>
      <c r="E385" s="457"/>
      <c r="F385" s="457"/>
      <c r="G385" s="457"/>
      <c r="H385" s="457"/>
      <c r="I385" s="457"/>
      <c r="J385" s="457"/>
      <c r="K385" s="457"/>
      <c r="L385" s="457"/>
      <c r="M385" s="457"/>
    </row>
    <row r="386" spans="1:13" ht="21" customHeight="1">
      <c r="A386" s="418" t="s">
        <v>81</v>
      </c>
      <c r="B386" s="458" t="s">
        <v>1190</v>
      </c>
      <c r="C386" s="458"/>
      <c r="D386" s="458"/>
      <c r="E386" s="458"/>
      <c r="F386" s="458"/>
      <c r="G386" s="458"/>
      <c r="H386" s="458"/>
      <c r="I386" s="458"/>
      <c r="J386" s="458"/>
      <c r="K386" s="458"/>
      <c r="L386" s="458"/>
      <c r="M386" s="420" t="str">
        <f>HYPERLINK("#提取年月日星期数函数!A300","跳转")</f>
        <v>跳转</v>
      </c>
    </row>
    <row r="387" spans="1:13" ht="21" customHeight="1">
      <c r="A387" s="421" t="s">
        <v>53</v>
      </c>
      <c r="B387" s="453" t="s">
        <v>1191</v>
      </c>
      <c r="C387" s="453"/>
      <c r="D387" s="453"/>
      <c r="E387" s="453"/>
      <c r="F387" s="453"/>
      <c r="G387" s="453"/>
      <c r="H387" s="453"/>
      <c r="I387" s="453"/>
      <c r="J387" s="453"/>
      <c r="K387" s="453"/>
      <c r="L387" s="453"/>
      <c r="M387" s="422" t="str">
        <f>HYPERLINK("#计算日期、天数、星期!A700","跳转")</f>
        <v>跳转</v>
      </c>
    </row>
    <row r="388" spans="1:13" ht="21" customHeight="1">
      <c r="A388" s="418" t="s">
        <v>1192</v>
      </c>
      <c r="B388" s="458" t="s">
        <v>1193</v>
      </c>
      <c r="C388" s="458"/>
      <c r="D388" s="458"/>
      <c r="E388" s="458"/>
      <c r="F388" s="458"/>
      <c r="G388" s="458"/>
      <c r="H388" s="458"/>
      <c r="I388" s="458"/>
      <c r="J388" s="458"/>
      <c r="K388" s="458"/>
      <c r="L388" s="458"/>
      <c r="M388" s="420" t="str">
        <f>HYPERLINK("#ZTEST与EXPONDIST与WEIBULL!A200","跳转")</f>
        <v>跳转</v>
      </c>
    </row>
    <row r="389" spans="1:13" ht="21" customHeight="1">
      <c r="A389" s="421" t="s">
        <v>37</v>
      </c>
      <c r="B389" s="459" t="s">
        <v>1194</v>
      </c>
      <c r="C389" s="459"/>
      <c r="D389" s="459"/>
      <c r="E389" s="459"/>
      <c r="F389" s="459"/>
      <c r="G389" s="459"/>
      <c r="H389" s="459"/>
      <c r="I389" s="459"/>
      <c r="J389" s="459"/>
      <c r="K389" s="459"/>
      <c r="L389" s="459"/>
      <c r="M389" s="430" t="str">
        <f>HYPERLINK("#计算日期、天数、星期!A200","跳转")</f>
        <v>跳转</v>
      </c>
    </row>
    <row r="390" spans="1:13" ht="21" customHeight="1">
      <c r="A390" s="431"/>
      <c r="B390" s="460"/>
      <c r="C390" s="460"/>
      <c r="D390" s="460"/>
      <c r="E390" s="460"/>
      <c r="F390" s="460"/>
      <c r="G390" s="460"/>
      <c r="H390" s="460"/>
      <c r="I390" s="460"/>
      <c r="J390" s="460"/>
      <c r="K390" s="460"/>
      <c r="L390" s="460"/>
      <c r="M390" s="460"/>
    </row>
    <row r="391" spans="1:13" ht="21" customHeight="1">
      <c r="A391" s="416" t="s">
        <v>1195</v>
      </c>
      <c r="B391" s="417" t="str">
        <f>HYPERLINK("#A3","跳转首行")</f>
        <v>跳转首行</v>
      </c>
      <c r="C391" s="457" t="s">
        <v>720</v>
      </c>
      <c r="D391" s="457"/>
      <c r="E391" s="457"/>
      <c r="F391" s="457"/>
      <c r="G391" s="457"/>
      <c r="H391" s="457"/>
      <c r="I391" s="457"/>
      <c r="J391" s="457"/>
      <c r="K391" s="457"/>
      <c r="L391" s="457"/>
      <c r="M391" s="457"/>
    </row>
    <row r="392" spans="1:13" ht="21" customHeight="1">
      <c r="A392" s="418" t="s">
        <v>1196</v>
      </c>
      <c r="B392" s="458" t="s">
        <v>1197</v>
      </c>
      <c r="C392" s="458"/>
      <c r="D392" s="458"/>
      <c r="E392" s="458"/>
      <c r="F392" s="458"/>
      <c r="G392" s="458"/>
      <c r="H392" s="458"/>
      <c r="I392" s="458"/>
      <c r="J392" s="458"/>
      <c r="K392" s="458"/>
      <c r="L392" s="458"/>
      <c r="M392" s="420" t="str">
        <f>HYPERLINK("#内部利益率!A100","跳转")</f>
        <v>跳转</v>
      </c>
    </row>
    <row r="393" spans="1:13" ht="21" customHeight="1">
      <c r="A393" s="421" t="s">
        <v>1198</v>
      </c>
      <c r="B393" s="459" t="s">
        <v>1199</v>
      </c>
      <c r="C393" s="459"/>
      <c r="D393" s="459"/>
      <c r="E393" s="459"/>
      <c r="F393" s="459"/>
      <c r="G393" s="459"/>
      <c r="H393" s="459"/>
      <c r="I393" s="459"/>
      <c r="J393" s="459"/>
      <c r="K393" s="459"/>
      <c r="L393" s="459"/>
      <c r="M393" s="430" t="str">
        <f>HYPERLINK("#贷储利率类!A700","跳转")</f>
        <v>跳转</v>
      </c>
    </row>
    <row r="394" spans="1:13" ht="21" customHeight="1">
      <c r="A394" s="431"/>
      <c r="B394" s="455"/>
      <c r="C394" s="456"/>
      <c r="D394" s="456"/>
      <c r="E394" s="456"/>
      <c r="F394" s="456"/>
      <c r="G394" s="456"/>
      <c r="H394" s="456"/>
      <c r="I394" s="456"/>
      <c r="J394" s="456"/>
      <c r="K394" s="456"/>
      <c r="L394" s="456"/>
      <c r="M394" s="456"/>
    </row>
    <row r="395" spans="1:13" ht="21" customHeight="1">
      <c r="A395" s="416" t="s">
        <v>1200</v>
      </c>
      <c r="B395" s="417" t="str">
        <f>HYPERLINK("#A3","跳转首行")</f>
        <v>跳转首行</v>
      </c>
      <c r="C395" s="457" t="s">
        <v>720</v>
      </c>
      <c r="D395" s="457"/>
      <c r="E395" s="457"/>
      <c r="F395" s="457"/>
      <c r="G395" s="457"/>
      <c r="H395" s="457"/>
      <c r="I395" s="457"/>
      <c r="J395" s="457"/>
      <c r="K395" s="457"/>
      <c r="L395" s="457"/>
      <c r="M395" s="457"/>
    </row>
    <row r="396" spans="1:13" ht="21" customHeight="1">
      <c r="A396" s="418" t="s">
        <v>75</v>
      </c>
      <c r="B396" s="458" t="s">
        <v>1201</v>
      </c>
      <c r="C396" s="458"/>
      <c r="D396" s="458"/>
      <c r="E396" s="458"/>
      <c r="F396" s="458"/>
      <c r="G396" s="458"/>
      <c r="H396" s="458"/>
      <c r="I396" s="458"/>
      <c r="J396" s="458"/>
      <c r="K396" s="458"/>
      <c r="L396" s="458"/>
      <c r="M396" s="420" t="str">
        <f>HYPERLINK("#提取年月日星期数函数!A1","跳转")</f>
        <v>跳转</v>
      </c>
    </row>
    <row r="397" spans="1:13" ht="21" customHeight="1">
      <c r="A397" s="421" t="s">
        <v>49</v>
      </c>
      <c r="B397" s="453" t="s">
        <v>1202</v>
      </c>
      <c r="C397" s="453"/>
      <c r="D397" s="453"/>
      <c r="E397" s="453"/>
      <c r="F397" s="453"/>
      <c r="G397" s="453"/>
      <c r="H397" s="453"/>
      <c r="I397" s="453"/>
      <c r="J397" s="453"/>
      <c r="K397" s="453"/>
      <c r="L397" s="453"/>
      <c r="M397" s="422" t="str">
        <f>HYPERLINK("#计算日期、天数、星期!A600","跳转")</f>
        <v>跳转</v>
      </c>
    </row>
    <row r="398" spans="1:13" ht="21" customHeight="1">
      <c r="A398" s="418" t="s">
        <v>1203</v>
      </c>
      <c r="B398" s="458" t="s">
        <v>1204</v>
      </c>
      <c r="C398" s="458"/>
      <c r="D398" s="458"/>
      <c r="E398" s="458"/>
      <c r="F398" s="458"/>
      <c r="G398" s="458"/>
      <c r="H398" s="458"/>
      <c r="I398" s="458"/>
      <c r="J398" s="458"/>
      <c r="K398" s="458"/>
      <c r="L398" s="458"/>
      <c r="M398" s="420" t="str">
        <f>HYPERLINK("#定期付息证券!A1","跳转")</f>
        <v>跳转</v>
      </c>
    </row>
    <row r="399" spans="1:13" ht="21" customHeight="1">
      <c r="A399" s="421" t="s">
        <v>1205</v>
      </c>
      <c r="B399" s="453" t="s">
        <v>1206</v>
      </c>
      <c r="C399" s="453"/>
      <c r="D399" s="453"/>
      <c r="E399" s="453"/>
      <c r="F399" s="453"/>
      <c r="G399" s="453"/>
      <c r="H399" s="453"/>
      <c r="I399" s="453"/>
      <c r="J399" s="453"/>
      <c r="K399" s="453"/>
      <c r="L399" s="453"/>
      <c r="M399" s="422" t="str">
        <f>HYPERLINK("#折价证券!A1","跳转")</f>
        <v>跳转</v>
      </c>
    </row>
    <row r="400" spans="1:13" ht="21" customHeight="1">
      <c r="A400" s="418" t="s">
        <v>593</v>
      </c>
      <c r="B400" s="454" t="s">
        <v>1207</v>
      </c>
      <c r="C400" s="454"/>
      <c r="D400" s="454"/>
      <c r="E400" s="454"/>
      <c r="F400" s="454"/>
      <c r="G400" s="454"/>
      <c r="H400" s="454"/>
      <c r="I400" s="454"/>
      <c r="J400" s="454"/>
      <c r="K400" s="454"/>
      <c r="L400" s="454"/>
      <c r="M400" s="423" t="str">
        <f>HYPERLINK("#到期付息证券!A1","跳转")</f>
        <v>跳转</v>
      </c>
    </row>
    <row r="401" spans="1:13" ht="21" customHeight="1">
      <c r="A401" s="62"/>
      <c r="B401" s="455"/>
      <c r="C401" s="456"/>
      <c r="D401" s="456"/>
      <c r="E401" s="456"/>
      <c r="F401" s="456"/>
      <c r="G401" s="456"/>
      <c r="H401" s="456"/>
      <c r="I401" s="456"/>
      <c r="J401" s="456"/>
      <c r="K401" s="456"/>
      <c r="L401" s="456"/>
      <c r="M401" s="456"/>
    </row>
    <row r="402" spans="1:13" ht="21" customHeight="1">
      <c r="A402" s="416" t="s">
        <v>1208</v>
      </c>
      <c r="B402" s="417" t="str">
        <f>HYPERLINK("#A3","跳转首行")</f>
        <v>跳转首行</v>
      </c>
      <c r="C402" s="457" t="s">
        <v>720</v>
      </c>
      <c r="D402" s="457"/>
      <c r="E402" s="457"/>
      <c r="F402" s="457"/>
      <c r="G402" s="457"/>
      <c r="H402" s="457"/>
      <c r="I402" s="457"/>
      <c r="J402" s="457"/>
      <c r="K402" s="457"/>
      <c r="L402" s="457"/>
      <c r="M402" s="457"/>
    </row>
    <row r="403" spans="1:13" ht="21" customHeight="1">
      <c r="A403" s="418" t="s">
        <v>1209</v>
      </c>
      <c r="B403" s="458" t="s">
        <v>1210</v>
      </c>
      <c r="C403" s="458"/>
      <c r="D403" s="458"/>
      <c r="E403" s="458"/>
      <c r="F403" s="458"/>
      <c r="G403" s="458"/>
      <c r="H403" s="458"/>
      <c r="I403" s="458"/>
      <c r="J403" s="458"/>
      <c r="K403" s="458"/>
      <c r="L403" s="458"/>
      <c r="M403" s="420" t="str">
        <f>HYPERLINK("#ZTEST与EXPONDIST与WEIBULL!A1","跳转")</f>
        <v>跳转</v>
      </c>
    </row>
  </sheetData>
  <mergeCells count="401">
    <mergeCell ref="A1:M1"/>
    <mergeCell ref="C2:M2"/>
    <mergeCell ref="C5:M5"/>
    <mergeCell ref="B6:L6"/>
    <mergeCell ref="B7:L7"/>
    <mergeCell ref="B8:L8"/>
    <mergeCell ref="B15:L15"/>
    <mergeCell ref="B16:L16"/>
    <mergeCell ref="B17:L17"/>
    <mergeCell ref="B18:L18"/>
    <mergeCell ref="B19:L19"/>
    <mergeCell ref="B20:L20"/>
    <mergeCell ref="B9:L9"/>
    <mergeCell ref="B10:L10"/>
    <mergeCell ref="B11:L11"/>
    <mergeCell ref="B12:L12"/>
    <mergeCell ref="B13:L13"/>
    <mergeCell ref="B14:L14"/>
    <mergeCell ref="B27:L27"/>
    <mergeCell ref="B28:L28"/>
    <mergeCell ref="B29:L29"/>
    <mergeCell ref="B30:L30"/>
    <mergeCell ref="B31:L31"/>
    <mergeCell ref="B32:L32"/>
    <mergeCell ref="B21:L21"/>
    <mergeCell ref="B22:L22"/>
    <mergeCell ref="B23:L23"/>
    <mergeCell ref="B24:L24"/>
    <mergeCell ref="B25:M25"/>
    <mergeCell ref="C26:M26"/>
    <mergeCell ref="C39:M39"/>
    <mergeCell ref="B40:L40"/>
    <mergeCell ref="B41:L41"/>
    <mergeCell ref="B42:L42"/>
    <mergeCell ref="B43:L43"/>
    <mergeCell ref="B44:L44"/>
    <mergeCell ref="B33:L33"/>
    <mergeCell ref="B34:L34"/>
    <mergeCell ref="B35:L35"/>
    <mergeCell ref="B36:L36"/>
    <mergeCell ref="B37:L37"/>
    <mergeCell ref="B38:M38"/>
    <mergeCell ref="B51:L51"/>
    <mergeCell ref="B52:L52"/>
    <mergeCell ref="B53:L53"/>
    <mergeCell ref="B54:L54"/>
    <mergeCell ref="B55:L55"/>
    <mergeCell ref="B56:L56"/>
    <mergeCell ref="B45:L45"/>
    <mergeCell ref="B46:L46"/>
    <mergeCell ref="B47:L47"/>
    <mergeCell ref="B48:L48"/>
    <mergeCell ref="B49:L49"/>
    <mergeCell ref="B50:L50"/>
    <mergeCell ref="B63:L63"/>
    <mergeCell ref="B64:L64"/>
    <mergeCell ref="B65:L65"/>
    <mergeCell ref="B66:L66"/>
    <mergeCell ref="B67:L67"/>
    <mergeCell ref="B68:L68"/>
    <mergeCell ref="B57:L57"/>
    <mergeCell ref="B58:L58"/>
    <mergeCell ref="B59:L59"/>
    <mergeCell ref="B60:L60"/>
    <mergeCell ref="B61:L61"/>
    <mergeCell ref="B62:L62"/>
    <mergeCell ref="C75:M75"/>
    <mergeCell ref="B76:L76"/>
    <mergeCell ref="B77:L77"/>
    <mergeCell ref="B78:L78"/>
    <mergeCell ref="B79:L79"/>
    <mergeCell ref="B80:L80"/>
    <mergeCell ref="B69:L69"/>
    <mergeCell ref="B70:L70"/>
    <mergeCell ref="B71:L71"/>
    <mergeCell ref="B72:L72"/>
    <mergeCell ref="B73:L73"/>
    <mergeCell ref="B74:M74"/>
    <mergeCell ref="B87:L87"/>
    <mergeCell ref="B88:L88"/>
    <mergeCell ref="B89:L89"/>
    <mergeCell ref="B90:L90"/>
    <mergeCell ref="B91:L91"/>
    <mergeCell ref="B92:L92"/>
    <mergeCell ref="B81:L81"/>
    <mergeCell ref="B82:L82"/>
    <mergeCell ref="B83:L83"/>
    <mergeCell ref="B84:L84"/>
    <mergeCell ref="B85:L85"/>
    <mergeCell ref="B86:L86"/>
    <mergeCell ref="B99:L99"/>
    <mergeCell ref="B100:L100"/>
    <mergeCell ref="B101:L101"/>
    <mergeCell ref="B102:L102"/>
    <mergeCell ref="B103:L103"/>
    <mergeCell ref="B104:L104"/>
    <mergeCell ref="B93:L93"/>
    <mergeCell ref="B94:L94"/>
    <mergeCell ref="B95:L95"/>
    <mergeCell ref="B96:L96"/>
    <mergeCell ref="B97:L97"/>
    <mergeCell ref="B98:L98"/>
    <mergeCell ref="B111:L111"/>
    <mergeCell ref="B112:L112"/>
    <mergeCell ref="B113:L113"/>
    <mergeCell ref="B114:L114"/>
    <mergeCell ref="B115:L115"/>
    <mergeCell ref="B116:L116"/>
    <mergeCell ref="B105:L105"/>
    <mergeCell ref="B106:M106"/>
    <mergeCell ref="C107:M107"/>
    <mergeCell ref="B108:L108"/>
    <mergeCell ref="B109:L109"/>
    <mergeCell ref="B110:L110"/>
    <mergeCell ref="B123:L123"/>
    <mergeCell ref="B124:L124"/>
    <mergeCell ref="B125:L125"/>
    <mergeCell ref="B126:L126"/>
    <mergeCell ref="B127:L127"/>
    <mergeCell ref="B128:L128"/>
    <mergeCell ref="B117:L117"/>
    <mergeCell ref="B118:L118"/>
    <mergeCell ref="B119:M119"/>
    <mergeCell ref="C120:M120"/>
    <mergeCell ref="B121:L121"/>
    <mergeCell ref="B122:L122"/>
    <mergeCell ref="B135:L135"/>
    <mergeCell ref="B136:L136"/>
    <mergeCell ref="B137:M137"/>
    <mergeCell ref="C138:M138"/>
    <mergeCell ref="B139:L139"/>
    <mergeCell ref="B140:L140"/>
    <mergeCell ref="B129:L129"/>
    <mergeCell ref="B130:L130"/>
    <mergeCell ref="B131:L131"/>
    <mergeCell ref="B132:L132"/>
    <mergeCell ref="B133:L133"/>
    <mergeCell ref="B134:L134"/>
    <mergeCell ref="B147:L147"/>
    <mergeCell ref="B148:M148"/>
    <mergeCell ref="C149:M149"/>
    <mergeCell ref="B150:L150"/>
    <mergeCell ref="B151:L151"/>
    <mergeCell ref="B152:L152"/>
    <mergeCell ref="B141:L141"/>
    <mergeCell ref="B142:L142"/>
    <mergeCell ref="B143:L143"/>
    <mergeCell ref="B144:L144"/>
    <mergeCell ref="B145:L145"/>
    <mergeCell ref="B146:L146"/>
    <mergeCell ref="C159:M159"/>
    <mergeCell ref="B160:L160"/>
    <mergeCell ref="B161:L161"/>
    <mergeCell ref="B162:L162"/>
    <mergeCell ref="B163:L163"/>
    <mergeCell ref="B164:L164"/>
    <mergeCell ref="B153:L153"/>
    <mergeCell ref="B154:L154"/>
    <mergeCell ref="B155:L155"/>
    <mergeCell ref="B156:L156"/>
    <mergeCell ref="B157:L157"/>
    <mergeCell ref="B158:M158"/>
    <mergeCell ref="B171:L171"/>
    <mergeCell ref="B172:L172"/>
    <mergeCell ref="B173:L173"/>
    <mergeCell ref="B174:L174"/>
    <mergeCell ref="B175:L175"/>
    <mergeCell ref="B176:L176"/>
    <mergeCell ref="B165:L165"/>
    <mergeCell ref="B166:L166"/>
    <mergeCell ref="B167:L167"/>
    <mergeCell ref="B168:L168"/>
    <mergeCell ref="B169:L169"/>
    <mergeCell ref="B170:L170"/>
    <mergeCell ref="B183:L183"/>
    <mergeCell ref="B184:L184"/>
    <mergeCell ref="B185:L185"/>
    <mergeCell ref="B186:L186"/>
    <mergeCell ref="B187:L187"/>
    <mergeCell ref="B188:L188"/>
    <mergeCell ref="B177:L177"/>
    <mergeCell ref="B178:L178"/>
    <mergeCell ref="B179:L179"/>
    <mergeCell ref="B180:L180"/>
    <mergeCell ref="B181:L181"/>
    <mergeCell ref="B182:L182"/>
    <mergeCell ref="B195:L195"/>
    <mergeCell ref="B196:L196"/>
    <mergeCell ref="B197:L197"/>
    <mergeCell ref="B198:M198"/>
    <mergeCell ref="C199:M199"/>
    <mergeCell ref="B200:L200"/>
    <mergeCell ref="B189:L189"/>
    <mergeCell ref="B190:L190"/>
    <mergeCell ref="B191:L191"/>
    <mergeCell ref="B192:L192"/>
    <mergeCell ref="B193:L193"/>
    <mergeCell ref="B194:L194"/>
    <mergeCell ref="B207:L207"/>
    <mergeCell ref="B208:L208"/>
    <mergeCell ref="B209:L209"/>
    <mergeCell ref="B210:L210"/>
    <mergeCell ref="B211:L211"/>
    <mergeCell ref="B212:L212"/>
    <mergeCell ref="B201:M201"/>
    <mergeCell ref="C202:M202"/>
    <mergeCell ref="B203:L203"/>
    <mergeCell ref="B204:M204"/>
    <mergeCell ref="C205:M205"/>
    <mergeCell ref="B206:L206"/>
    <mergeCell ref="B219:L219"/>
    <mergeCell ref="B220:L220"/>
    <mergeCell ref="B221:L221"/>
    <mergeCell ref="B222:M222"/>
    <mergeCell ref="C223:M223"/>
    <mergeCell ref="B224:L224"/>
    <mergeCell ref="B213:L213"/>
    <mergeCell ref="B214:L214"/>
    <mergeCell ref="B215:L215"/>
    <mergeCell ref="B216:L216"/>
    <mergeCell ref="B217:L217"/>
    <mergeCell ref="B218:L218"/>
    <mergeCell ref="B231:L231"/>
    <mergeCell ref="B232:L232"/>
    <mergeCell ref="B233:L233"/>
    <mergeCell ref="B234:L234"/>
    <mergeCell ref="B235:L235"/>
    <mergeCell ref="B236:L236"/>
    <mergeCell ref="B225:L225"/>
    <mergeCell ref="B226:L226"/>
    <mergeCell ref="B227:L227"/>
    <mergeCell ref="B228:L228"/>
    <mergeCell ref="B229:L229"/>
    <mergeCell ref="B230:L230"/>
    <mergeCell ref="B243:M243"/>
    <mergeCell ref="C244:M244"/>
    <mergeCell ref="B245:L245"/>
    <mergeCell ref="B246:L246"/>
    <mergeCell ref="B247:L247"/>
    <mergeCell ref="B248:L248"/>
    <mergeCell ref="B237:L237"/>
    <mergeCell ref="B238:L238"/>
    <mergeCell ref="B239:L239"/>
    <mergeCell ref="B240:L240"/>
    <mergeCell ref="B241:L241"/>
    <mergeCell ref="B242:L242"/>
    <mergeCell ref="B255:L255"/>
    <mergeCell ref="B256:L256"/>
    <mergeCell ref="B257:L257"/>
    <mergeCell ref="B258:L258"/>
    <mergeCell ref="B259:M259"/>
    <mergeCell ref="C260:M260"/>
    <mergeCell ref="B249:L249"/>
    <mergeCell ref="B250:L250"/>
    <mergeCell ref="B251:L251"/>
    <mergeCell ref="B252:L252"/>
    <mergeCell ref="B253:L253"/>
    <mergeCell ref="B254:L254"/>
    <mergeCell ref="B267:L267"/>
    <mergeCell ref="B268:L268"/>
    <mergeCell ref="B269:L269"/>
    <mergeCell ref="B270:L270"/>
    <mergeCell ref="B271:M271"/>
    <mergeCell ref="C272:M272"/>
    <mergeCell ref="B261:L261"/>
    <mergeCell ref="B262:L262"/>
    <mergeCell ref="B263:L263"/>
    <mergeCell ref="B264:L264"/>
    <mergeCell ref="B265:L265"/>
    <mergeCell ref="B266:L266"/>
    <mergeCell ref="B279:L279"/>
    <mergeCell ref="B280:L280"/>
    <mergeCell ref="B281:L281"/>
    <mergeCell ref="B282:L282"/>
    <mergeCell ref="B283:L283"/>
    <mergeCell ref="B284:L284"/>
    <mergeCell ref="B273:L273"/>
    <mergeCell ref="B274:L274"/>
    <mergeCell ref="B275:L275"/>
    <mergeCell ref="B276:L276"/>
    <mergeCell ref="B277:L277"/>
    <mergeCell ref="B278:L278"/>
    <mergeCell ref="B291:L291"/>
    <mergeCell ref="B292:L292"/>
    <mergeCell ref="B293:M293"/>
    <mergeCell ref="C294:M294"/>
    <mergeCell ref="B295:L295"/>
    <mergeCell ref="B296:L296"/>
    <mergeCell ref="B285:L285"/>
    <mergeCell ref="B286:L286"/>
    <mergeCell ref="B287:L287"/>
    <mergeCell ref="B288:L288"/>
    <mergeCell ref="B289:M289"/>
    <mergeCell ref="C290:M290"/>
    <mergeCell ref="B303:L303"/>
    <mergeCell ref="B304:L304"/>
    <mergeCell ref="B305:L305"/>
    <mergeCell ref="B306:L306"/>
    <mergeCell ref="B307:L307"/>
    <mergeCell ref="B308:L308"/>
    <mergeCell ref="B297:L297"/>
    <mergeCell ref="B298:L298"/>
    <mergeCell ref="B299:L299"/>
    <mergeCell ref="B300:L300"/>
    <mergeCell ref="B301:L301"/>
    <mergeCell ref="B302:L302"/>
    <mergeCell ref="B315:L315"/>
    <mergeCell ref="B316:L316"/>
    <mergeCell ref="B317:L317"/>
    <mergeCell ref="B318:M318"/>
    <mergeCell ref="C319:M319"/>
    <mergeCell ref="B320:L320"/>
    <mergeCell ref="B309:L309"/>
    <mergeCell ref="B310:L310"/>
    <mergeCell ref="B311:L311"/>
    <mergeCell ref="B312:L312"/>
    <mergeCell ref="B313:L313"/>
    <mergeCell ref="B314:L314"/>
    <mergeCell ref="B327:L327"/>
    <mergeCell ref="B328:L328"/>
    <mergeCell ref="B329:L329"/>
    <mergeCell ref="B330:L330"/>
    <mergeCell ref="B331:L331"/>
    <mergeCell ref="B332:L332"/>
    <mergeCell ref="B321:L321"/>
    <mergeCell ref="B322:L322"/>
    <mergeCell ref="B323:L323"/>
    <mergeCell ref="B324:L324"/>
    <mergeCell ref="B325:L325"/>
    <mergeCell ref="B326:L326"/>
    <mergeCell ref="B339:L339"/>
    <mergeCell ref="B340:L340"/>
    <mergeCell ref="B341:L341"/>
    <mergeCell ref="B342:L342"/>
    <mergeCell ref="B343:L343"/>
    <mergeCell ref="B344:L344"/>
    <mergeCell ref="B333:L333"/>
    <mergeCell ref="B334:L334"/>
    <mergeCell ref="B335:L335"/>
    <mergeCell ref="B336:L336"/>
    <mergeCell ref="B337:L337"/>
    <mergeCell ref="B338:L338"/>
    <mergeCell ref="C351:M351"/>
    <mergeCell ref="B352:L352"/>
    <mergeCell ref="B353:L353"/>
    <mergeCell ref="B354:L354"/>
    <mergeCell ref="B355:L355"/>
    <mergeCell ref="B356:L356"/>
    <mergeCell ref="B345:L345"/>
    <mergeCell ref="B346:L346"/>
    <mergeCell ref="B347:L347"/>
    <mergeCell ref="B348:L348"/>
    <mergeCell ref="B349:L349"/>
    <mergeCell ref="B350:M350"/>
    <mergeCell ref="B363:L363"/>
    <mergeCell ref="B364:L364"/>
    <mergeCell ref="B365:L365"/>
    <mergeCell ref="B366:L366"/>
    <mergeCell ref="B367:L367"/>
    <mergeCell ref="B368:L368"/>
    <mergeCell ref="B357:L357"/>
    <mergeCell ref="B358:L358"/>
    <mergeCell ref="B359:L359"/>
    <mergeCell ref="B360:L360"/>
    <mergeCell ref="B361:L361"/>
    <mergeCell ref="B362:L362"/>
    <mergeCell ref="B375:M375"/>
    <mergeCell ref="C376:M376"/>
    <mergeCell ref="B377:L377"/>
    <mergeCell ref="B378:L378"/>
    <mergeCell ref="B379:L379"/>
    <mergeCell ref="B380:L380"/>
    <mergeCell ref="B369:L369"/>
    <mergeCell ref="B370:L370"/>
    <mergeCell ref="B371:L371"/>
    <mergeCell ref="B372:M372"/>
    <mergeCell ref="C373:M373"/>
    <mergeCell ref="B374:L374"/>
    <mergeCell ref="B387:L387"/>
    <mergeCell ref="B388:L388"/>
    <mergeCell ref="B389:L389"/>
    <mergeCell ref="B390:M390"/>
    <mergeCell ref="C391:M391"/>
    <mergeCell ref="B392:L392"/>
    <mergeCell ref="B381:L381"/>
    <mergeCell ref="B382:L382"/>
    <mergeCell ref="B383:L383"/>
    <mergeCell ref="B384:M384"/>
    <mergeCell ref="C385:M385"/>
    <mergeCell ref="B386:L386"/>
    <mergeCell ref="B399:L399"/>
    <mergeCell ref="B400:L400"/>
    <mergeCell ref="B401:M401"/>
    <mergeCell ref="C402:M402"/>
    <mergeCell ref="B403:L403"/>
    <mergeCell ref="B393:L393"/>
    <mergeCell ref="B394:M394"/>
    <mergeCell ref="C395:M395"/>
    <mergeCell ref="B396:L396"/>
    <mergeCell ref="B397:L397"/>
    <mergeCell ref="B398:L398"/>
  </mergeCells>
  <phoneticPr fontId="2" type="noConversion"/>
  <pageMargins left="0.75" right="0.75" top="1" bottom="1" header="0.5" footer="0.5"/>
  <pageSetup paperSize="9" orientation="portrait" horizontalDpi="0" verticalDpi="0"/>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V126"/>
  <sheetViews>
    <sheetView workbookViewId="0">
      <selection activeCell="E1" sqref="E1:F1"/>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147</v>
      </c>
      <c r="B1" s="498"/>
      <c r="C1" s="499"/>
      <c r="D1" s="87"/>
      <c r="E1" s="500" t="str">
        <f>HYPERLINK("#目录!A86","跳转回到目录页")</f>
        <v>跳转回到目录页</v>
      </c>
      <c r="F1" s="501"/>
    </row>
    <row r="2" spans="1:48" s="88" customFormat="1" ht="26.25" customHeight="1">
      <c r="A2" s="502" t="s">
        <v>1216</v>
      </c>
      <c r="B2" s="502"/>
      <c r="C2" s="503" t="s">
        <v>148</v>
      </c>
      <c r="D2" s="503"/>
      <c r="E2" s="503"/>
      <c r="F2" s="503"/>
      <c r="G2" s="503"/>
      <c r="H2" s="503"/>
      <c r="I2" s="503"/>
      <c r="J2" s="503"/>
      <c r="K2" s="503"/>
      <c r="L2" s="503"/>
      <c r="M2" s="503"/>
    </row>
    <row r="3" spans="1:48" s="88" customFormat="1" ht="16.5" customHeight="1">
      <c r="A3" s="496" t="s">
        <v>1217</v>
      </c>
      <c r="B3" s="496"/>
      <c r="C3" s="493" t="s">
        <v>2317</v>
      </c>
      <c r="D3" s="493"/>
      <c r="E3" s="493"/>
      <c r="F3" s="493"/>
      <c r="G3" s="493"/>
      <c r="H3" s="493"/>
      <c r="I3" s="493"/>
      <c r="J3" s="493"/>
      <c r="K3" s="493"/>
      <c r="L3" s="493"/>
      <c r="M3" s="493"/>
    </row>
    <row r="4" spans="1:48" s="88" customFormat="1" ht="16.5" customHeight="1">
      <c r="A4" s="496" t="s">
        <v>5786</v>
      </c>
      <c r="B4" s="496"/>
      <c r="C4" s="497" t="s">
        <v>2318</v>
      </c>
      <c r="D4" s="497"/>
      <c r="E4" s="497"/>
      <c r="F4" s="497"/>
      <c r="G4" s="497"/>
      <c r="H4" s="497"/>
      <c r="I4" s="497"/>
      <c r="J4" s="497"/>
      <c r="K4" s="497"/>
      <c r="L4" s="497"/>
      <c r="M4" s="497"/>
    </row>
    <row r="5" spans="1:48" s="88" customFormat="1" ht="16.5" customHeight="1">
      <c r="A5" s="496" t="s">
        <v>1220</v>
      </c>
      <c r="B5" s="496"/>
      <c r="C5" s="493" t="s">
        <v>2319</v>
      </c>
      <c r="D5" s="493"/>
      <c r="E5" s="493"/>
      <c r="F5" s="493"/>
      <c r="G5" s="493"/>
      <c r="H5" s="493"/>
      <c r="I5" s="493"/>
      <c r="J5" s="493"/>
      <c r="K5" s="493"/>
      <c r="L5" s="493"/>
      <c r="M5" s="493"/>
    </row>
    <row r="6" spans="1:48" s="88" customFormat="1" ht="16.5" customHeight="1">
      <c r="A6" s="496" t="s">
        <v>5785</v>
      </c>
      <c r="B6" s="496"/>
      <c r="C6" s="493" t="s">
        <v>2320</v>
      </c>
      <c r="D6" s="493"/>
      <c r="E6" s="493"/>
      <c r="F6" s="493"/>
      <c r="G6" s="493"/>
      <c r="H6" s="493"/>
      <c r="I6" s="493"/>
      <c r="J6" s="493"/>
      <c r="K6" s="493"/>
      <c r="L6" s="493"/>
      <c r="M6" s="493"/>
    </row>
    <row r="7" spans="1:48" s="88" customFormat="1" ht="16.5" customHeight="1">
      <c r="A7" s="89" t="s">
        <v>1223</v>
      </c>
      <c r="B7" s="92" t="s">
        <v>2200</v>
      </c>
      <c r="C7" s="493" t="s">
        <v>2321</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2322</v>
      </c>
      <c r="C10" s="493"/>
      <c r="D10" s="493"/>
      <c r="E10" s="493"/>
      <c r="F10" s="493"/>
      <c r="G10" s="493"/>
      <c r="H10" s="493"/>
      <c r="I10" s="493"/>
      <c r="J10" s="493"/>
      <c r="K10" s="493"/>
      <c r="L10" s="493"/>
      <c r="M10" s="493"/>
    </row>
    <row r="11" spans="1:48" ht="24.75" customHeight="1">
      <c r="A11" s="89" t="s">
        <v>1229</v>
      </c>
      <c r="B11" s="493" t="s">
        <v>2323</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187"/>
      <c r="C16" s="504" t="s">
        <v>2324</v>
      </c>
      <c r="D16" s="504"/>
      <c r="E16" s="504"/>
      <c r="F16" s="504"/>
      <c r="G16" s="504"/>
      <c r="H16" s="505"/>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9" t="s">
        <v>2087</v>
      </c>
      <c r="C17" s="110">
        <v>21</v>
      </c>
      <c r="D17" s="110">
        <v>-2</v>
      </c>
      <c r="E17" s="110">
        <v>0.34</v>
      </c>
      <c r="F17" s="110">
        <v>0</v>
      </c>
      <c r="G17" s="110" t="s">
        <v>2325</v>
      </c>
      <c r="H17" s="101" t="s">
        <v>1904</v>
      </c>
      <c r="I17" s="104" t="s">
        <v>1238</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05" t="s">
        <v>1456</v>
      </c>
      <c r="C18" s="113">
        <f t="shared" ref="C18:H18" si="0">ABS(C17)</f>
        <v>21</v>
      </c>
      <c r="D18" s="113">
        <f t="shared" si="0"/>
        <v>2</v>
      </c>
      <c r="E18" s="113">
        <f t="shared" si="0"/>
        <v>0.34</v>
      </c>
      <c r="F18" s="113">
        <f t="shared" si="0"/>
        <v>0</v>
      </c>
      <c r="G18" s="113" t="e">
        <f t="shared" si="0"/>
        <v>#VALUE!</v>
      </c>
      <c r="H18" s="107" t="e">
        <f t="shared" si="0"/>
        <v>#VALUE!</v>
      </c>
      <c r="I18" s="108" t="s">
        <v>2326</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G19" s="93" t="s">
        <v>2327</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H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H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H24" s="18"/>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H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H26" s="18"/>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H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H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H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H30" s="18"/>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H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H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A34" s="9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A35" s="9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A36" s="9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A37" s="9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A38" s="9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A39" s="9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A40" s="9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A41" s="9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A42" s="9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A43" s="9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A44" s="9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A45" s="9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A46" s="9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A47" s="9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A48" s="9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A49" s="9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s="93" customFormat="1" ht="16.5" customHeight="1">
      <c r="A50" s="9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48" s="93" customFormat="1" ht="16.5" customHeight="1">
      <c r="A51" s="9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48" s="93" customFormat="1" ht="16.5" customHeight="1">
      <c r="A52" s="9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48" s="93" customFormat="1" ht="16.5" customHeight="1">
      <c r="A53" s="9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48" s="93" customFormat="1" ht="16.5" customHeight="1">
      <c r="A54" s="9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1:48" s="93" customFormat="1" ht="16.5" customHeight="1">
      <c r="A55" s="9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48" s="93" customFormat="1" ht="16.5" customHeight="1">
      <c r="A56" s="9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1:48" s="93" customFormat="1" ht="16.5" customHeight="1">
      <c r="A57" s="9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48" s="93" customFormat="1" ht="16.5" customHeight="1">
      <c r="A58" s="9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1:48" s="93" customFormat="1" ht="16.5" customHeight="1">
      <c r="A59" s="9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48" s="93" customFormat="1" ht="16.5" customHeight="1">
      <c r="A60" s="9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1:48" s="93" customFormat="1" ht="16.5" customHeight="1">
      <c r="A61" s="9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48" s="93" customFormat="1" ht="16.5" customHeight="1">
      <c r="A62" s="9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1:48" s="93" customFormat="1" ht="16.5" customHeight="1">
      <c r="A63" s="9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48" s="93" customFormat="1" ht="16.5" customHeight="1">
      <c r="A64" s="9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48" s="93" customFormat="1" ht="16.5" customHeight="1">
      <c r="A65" s="9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48" s="93" customFormat="1" ht="16.5" customHeight="1">
      <c r="A66" s="9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48" s="93" customFormat="1" ht="16.5" customHeight="1">
      <c r="A67" s="9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48" s="93" customFormat="1" ht="16.5" customHeight="1">
      <c r="A68" s="9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48" s="93" customFormat="1" ht="16.5" customHeight="1">
      <c r="A69" s="9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48" s="93" customFormat="1" ht="16.5" customHeight="1">
      <c r="A70" s="9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48" s="93" customFormat="1" ht="16.5" customHeight="1">
      <c r="A71" s="9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48" s="93" customFormat="1" ht="16.5" customHeight="1">
      <c r="A72" s="9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48" s="93" customFormat="1" ht="16.5" customHeight="1">
      <c r="A73" s="9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48" s="93" customFormat="1" ht="16.5" customHeight="1">
      <c r="A74" s="9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48" s="93" customFormat="1" ht="16.5" customHeight="1">
      <c r="A75" s="9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48" s="93" customFormat="1" ht="16.5" customHeight="1">
      <c r="A76" s="9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48" s="93" customFormat="1" ht="16.5" customHeight="1">
      <c r="A77" s="9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48" s="93" customFormat="1" ht="16.5" customHeight="1">
      <c r="A78" s="9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48" s="93" customFormat="1" ht="16.5" customHeight="1">
      <c r="A79" s="9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48" s="93" customFormat="1" ht="16.5" customHeight="1">
      <c r="A80" s="9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1:48" s="93" customFormat="1" ht="16.5" customHeight="1">
      <c r="A81" s="9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1:48" s="93" customFormat="1" ht="16.5" customHeight="1">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1:48" s="93" customFormat="1" ht="16.5" customHeight="1">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1:48" s="93" customFormat="1" ht="16.5" customHeight="1">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1:48" s="93" customFormat="1" ht="16.5" customHeight="1">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1:48" s="93" customFormat="1" ht="16.5" customHeight="1">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1:48" s="93" customFormat="1" ht="16.5" customHeight="1">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1:48" s="93" customFormat="1" ht="16.5" customHeight="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1:48" s="93" customFormat="1" ht="16.5" customHeight="1">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1:48" s="93" customFormat="1" ht="16.5" customHeight="1">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1:48" s="93" customFormat="1" ht="16.5" customHeight="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1:48" s="93" customFormat="1" ht="16.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1:48" s="93" customFormat="1" ht="16.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1:48" s="93" customFormat="1" ht="16.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1:48" s="93" customFormat="1" ht="16.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1:48" s="93" customFormat="1" ht="16.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100" spans="1:48" s="88" customFormat="1" ht="26.25" customHeight="1">
      <c r="A100" s="498" t="s">
        <v>149</v>
      </c>
      <c r="B100" s="498"/>
      <c r="C100" s="499"/>
      <c r="D100" s="87"/>
      <c r="E100" s="500" t="str">
        <f>HYPERLINK("#目录!A87","跳转回到目录页")</f>
        <v>跳转回到目录页</v>
      </c>
      <c r="F100" s="501"/>
    </row>
    <row r="101" spans="1:48" s="88" customFormat="1" ht="26.25" customHeight="1">
      <c r="A101" s="502" t="s">
        <v>1216</v>
      </c>
      <c r="B101" s="502"/>
      <c r="C101" s="503" t="s">
        <v>150</v>
      </c>
      <c r="D101" s="503"/>
      <c r="E101" s="503"/>
      <c r="F101" s="503"/>
      <c r="G101" s="503"/>
      <c r="H101" s="503"/>
      <c r="I101" s="503"/>
      <c r="J101" s="503"/>
      <c r="K101" s="503"/>
      <c r="L101" s="503"/>
      <c r="M101" s="503"/>
    </row>
    <row r="102" spans="1:48" s="88" customFormat="1" ht="16.5" customHeight="1">
      <c r="A102" s="496" t="s">
        <v>1217</v>
      </c>
      <c r="B102" s="496"/>
      <c r="C102" s="493" t="s">
        <v>2328</v>
      </c>
      <c r="D102" s="493"/>
      <c r="E102" s="493"/>
      <c r="F102" s="493"/>
      <c r="G102" s="493"/>
      <c r="H102" s="493"/>
      <c r="I102" s="493"/>
      <c r="J102" s="493"/>
      <c r="K102" s="493"/>
      <c r="L102" s="493"/>
      <c r="M102" s="493"/>
    </row>
    <row r="103" spans="1:48" s="88" customFormat="1" ht="16.5" customHeight="1">
      <c r="A103" s="496" t="s">
        <v>5786</v>
      </c>
      <c r="B103" s="496"/>
      <c r="C103" s="497" t="s">
        <v>2329</v>
      </c>
      <c r="D103" s="497"/>
      <c r="E103" s="497"/>
      <c r="F103" s="497"/>
      <c r="G103" s="497"/>
      <c r="H103" s="497"/>
      <c r="I103" s="497"/>
      <c r="J103" s="497"/>
      <c r="K103" s="497"/>
      <c r="L103" s="497"/>
      <c r="M103" s="497"/>
    </row>
    <row r="104" spans="1:48" s="88" customFormat="1" ht="16.5" customHeight="1">
      <c r="A104" s="496" t="s">
        <v>1220</v>
      </c>
      <c r="B104" s="496"/>
      <c r="C104" s="493" t="s">
        <v>2330</v>
      </c>
      <c r="D104" s="493"/>
      <c r="E104" s="493"/>
      <c r="F104" s="493"/>
      <c r="G104" s="493"/>
      <c r="H104" s="493"/>
      <c r="I104" s="493"/>
      <c r="J104" s="493"/>
      <c r="K104" s="493"/>
      <c r="L104" s="493"/>
      <c r="M104" s="493"/>
    </row>
    <row r="105" spans="1:48" s="88" customFormat="1" ht="16.5" customHeight="1">
      <c r="A105" s="496" t="s">
        <v>5785</v>
      </c>
      <c r="B105" s="496"/>
      <c r="C105" s="493" t="s">
        <v>2331</v>
      </c>
      <c r="D105" s="493"/>
      <c r="E105" s="493"/>
      <c r="F105" s="493"/>
      <c r="G105" s="493"/>
      <c r="H105" s="493"/>
      <c r="I105" s="493"/>
      <c r="J105" s="493"/>
      <c r="K105" s="493"/>
      <c r="L105" s="493"/>
      <c r="M105" s="493"/>
    </row>
    <row r="106" spans="1:48" s="88" customFormat="1" ht="16.5" customHeight="1">
      <c r="A106" s="89" t="s">
        <v>1223</v>
      </c>
      <c r="B106" s="92" t="s">
        <v>2200</v>
      </c>
      <c r="C106" s="493" t="s">
        <v>2332</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c r="C109" s="493"/>
      <c r="D109" s="493"/>
      <c r="E109" s="493"/>
      <c r="F109" s="493"/>
      <c r="G109" s="493"/>
      <c r="H109" s="493"/>
      <c r="I109" s="493"/>
      <c r="J109" s="493"/>
      <c r="K109" s="493"/>
      <c r="L109" s="493"/>
      <c r="M109" s="493"/>
    </row>
    <row r="110" spans="1:48" ht="16.5" customHeight="1">
      <c r="A110" s="89" t="s">
        <v>1229</v>
      </c>
      <c r="B110" s="493" t="s">
        <v>2333</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9" s="93" customFormat="1" ht="16.5" customHeight="1">
      <c r="A113" s="94" t="s">
        <v>1232</v>
      </c>
      <c r="B113" s="93" t="s">
        <v>1773</v>
      </c>
    </row>
    <row r="114" spans="1:9" ht="16.5" customHeight="1"/>
    <row r="115" spans="1:9" ht="16.5" customHeight="1">
      <c r="B115" s="187"/>
      <c r="C115" s="504" t="s">
        <v>2324</v>
      </c>
      <c r="D115" s="504"/>
      <c r="E115" s="504"/>
      <c r="F115" s="504"/>
      <c r="G115" s="504"/>
      <c r="H115" s="505"/>
      <c r="I115" s="93"/>
    </row>
    <row r="116" spans="1:9" ht="16.5" customHeight="1">
      <c r="B116" s="99" t="s">
        <v>2087</v>
      </c>
      <c r="C116" s="110">
        <v>21</v>
      </c>
      <c r="D116" s="110">
        <v>-2</v>
      </c>
      <c r="E116" s="110">
        <v>0.34</v>
      </c>
      <c r="F116" s="110">
        <v>0</v>
      </c>
      <c r="G116" s="110" t="s">
        <v>2325</v>
      </c>
      <c r="H116" s="101" t="s">
        <v>1904</v>
      </c>
      <c r="I116" s="104" t="s">
        <v>1238</v>
      </c>
    </row>
    <row r="117" spans="1:9" ht="16.5" customHeight="1">
      <c r="B117" s="105" t="s">
        <v>1456</v>
      </c>
      <c r="C117" s="113">
        <f t="shared" ref="C117:H117" si="1">SIGN(C116)</f>
        <v>1</v>
      </c>
      <c r="D117" s="113">
        <f t="shared" si="1"/>
        <v>-1</v>
      </c>
      <c r="E117" s="113">
        <f t="shared" si="1"/>
        <v>1</v>
      </c>
      <c r="F117" s="113">
        <f t="shared" si="1"/>
        <v>0</v>
      </c>
      <c r="G117" s="113" t="e">
        <f t="shared" si="1"/>
        <v>#VALUE!</v>
      </c>
      <c r="H117" s="107" t="e">
        <f t="shared" si="1"/>
        <v>#VALUE!</v>
      </c>
      <c r="I117" s="108" t="s">
        <v>2334</v>
      </c>
    </row>
    <row r="118" spans="1:9" ht="16.5" customHeight="1">
      <c r="B118" s="93"/>
      <c r="C118" s="93"/>
      <c r="D118" s="93"/>
      <c r="E118" s="93"/>
      <c r="F118" s="93"/>
      <c r="G118" s="93" t="s">
        <v>2335</v>
      </c>
      <c r="H118" s="93"/>
      <c r="I118" s="93"/>
    </row>
    <row r="119" spans="1:9" ht="16.5" customHeight="1">
      <c r="G119" s="18"/>
    </row>
    <row r="120" spans="1:9" ht="16.5" customHeight="1"/>
    <row r="121" spans="1:9" ht="16.5" customHeight="1"/>
    <row r="122" spans="1:9" ht="16.5" customHeight="1"/>
    <row r="123" spans="1:9" ht="16.5" customHeight="1">
      <c r="G123" s="18"/>
    </row>
    <row r="124" spans="1:9" ht="16.5" customHeight="1"/>
    <row r="125" spans="1:9" ht="16.5" customHeight="1"/>
    <row r="126" spans="1:9" ht="16.5" customHeight="1"/>
  </sheetData>
  <mergeCells count="38">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C16:H16"/>
    <mergeCell ref="A100:C100"/>
    <mergeCell ref="E100:F100"/>
    <mergeCell ref="A101:B101"/>
    <mergeCell ref="C101:M101"/>
    <mergeCell ref="A103:B103"/>
    <mergeCell ref="C103:M103"/>
    <mergeCell ref="A104:B104"/>
    <mergeCell ref="C104:M104"/>
    <mergeCell ref="A105:B105"/>
    <mergeCell ref="C105:M105"/>
    <mergeCell ref="C115:H115"/>
    <mergeCell ref="C106:M106"/>
    <mergeCell ref="C107:M107"/>
    <mergeCell ref="C108:M108"/>
    <mergeCell ref="B109:M109"/>
    <mergeCell ref="B110:M110"/>
    <mergeCell ref="B111:L111"/>
  </mergeCells>
  <phoneticPr fontId="2" type="noConversion"/>
  <pageMargins left="0.75" right="0.75" top="1" bottom="1" header="0.5" footer="0.5"/>
  <pageSetup paperSize="9" orientation="portrait" horizontalDpi="0" verticalDpi="0"/>
  <headerFooter scaleWithDoc="0"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V427"/>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153</v>
      </c>
      <c r="B1" s="498"/>
      <c r="C1" s="499"/>
      <c r="D1" s="87"/>
      <c r="E1" s="500" t="str">
        <f>HYPERLINK("#目录!A89","跳转回到目录页")</f>
        <v>跳转回到目录页</v>
      </c>
      <c r="F1" s="501"/>
    </row>
    <row r="2" spans="1:48" s="88" customFormat="1" ht="26.25" customHeight="1">
      <c r="A2" s="502" t="s">
        <v>1216</v>
      </c>
      <c r="B2" s="502"/>
      <c r="C2" s="503" t="s">
        <v>154</v>
      </c>
      <c r="D2" s="503"/>
      <c r="E2" s="503"/>
      <c r="F2" s="503"/>
      <c r="G2" s="503"/>
      <c r="H2" s="503"/>
      <c r="I2" s="503"/>
      <c r="J2" s="503"/>
      <c r="K2" s="503"/>
      <c r="L2" s="503"/>
      <c r="M2" s="503"/>
    </row>
    <row r="3" spans="1:48" s="88" customFormat="1" ht="16.5" customHeight="1">
      <c r="A3" s="496" t="s">
        <v>1217</v>
      </c>
      <c r="B3" s="496"/>
      <c r="C3" s="493" t="s">
        <v>2336</v>
      </c>
      <c r="D3" s="493"/>
      <c r="E3" s="493"/>
      <c r="F3" s="493"/>
      <c r="G3" s="493"/>
      <c r="H3" s="493"/>
      <c r="I3" s="493"/>
      <c r="J3" s="493"/>
      <c r="K3" s="493"/>
      <c r="L3" s="493"/>
      <c r="M3" s="493"/>
    </row>
    <row r="4" spans="1:48" s="88" customFormat="1" ht="16.5" customHeight="1">
      <c r="A4" s="496" t="s">
        <v>5786</v>
      </c>
      <c r="B4" s="496"/>
      <c r="C4" s="497" t="s">
        <v>154</v>
      </c>
      <c r="D4" s="497"/>
      <c r="E4" s="497"/>
      <c r="F4" s="497"/>
      <c r="G4" s="497"/>
      <c r="H4" s="497"/>
      <c r="I4" s="497"/>
      <c r="J4" s="497"/>
      <c r="K4" s="497"/>
      <c r="L4" s="497"/>
      <c r="M4" s="497"/>
    </row>
    <row r="5" spans="1:48" s="88" customFormat="1" ht="16.5" customHeight="1">
      <c r="A5" s="496" t="s">
        <v>1220</v>
      </c>
      <c r="B5" s="496"/>
      <c r="C5" s="493" t="s">
        <v>2337</v>
      </c>
      <c r="D5" s="493"/>
      <c r="E5" s="493"/>
      <c r="F5" s="493"/>
      <c r="G5" s="493"/>
      <c r="H5" s="493"/>
      <c r="I5" s="493"/>
      <c r="J5" s="493"/>
      <c r="K5" s="493"/>
      <c r="L5" s="493"/>
      <c r="M5" s="493"/>
    </row>
    <row r="6" spans="1:48" s="88" customFormat="1" ht="16.5" customHeight="1">
      <c r="A6" s="496" t="s">
        <v>5785</v>
      </c>
      <c r="B6" s="496"/>
      <c r="C6" s="493" t="s">
        <v>2338</v>
      </c>
      <c r="D6" s="493"/>
      <c r="E6" s="493"/>
      <c r="F6" s="493"/>
      <c r="G6" s="493"/>
      <c r="H6" s="493"/>
      <c r="I6" s="493"/>
      <c r="J6" s="493"/>
      <c r="K6" s="493"/>
      <c r="L6" s="493"/>
      <c r="M6" s="493"/>
    </row>
    <row r="7" spans="1:48" s="88" customFormat="1" ht="16.5" customHeight="1">
      <c r="A7" s="89" t="s">
        <v>1223</v>
      </c>
      <c r="B7" s="92" t="s">
        <v>2200</v>
      </c>
      <c r="C7" s="493" t="s">
        <v>2339</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2340</v>
      </c>
      <c r="C10" s="493"/>
      <c r="D10" s="493"/>
      <c r="E10" s="493"/>
      <c r="F10" s="493"/>
      <c r="G10" s="493"/>
      <c r="H10" s="493"/>
      <c r="I10" s="493"/>
      <c r="J10" s="493"/>
      <c r="K10" s="493"/>
      <c r="L10" s="493"/>
      <c r="M10" s="493"/>
    </row>
    <row r="11" spans="1:48" ht="24.75" customHeight="1">
      <c r="A11" s="89" t="s">
        <v>1229</v>
      </c>
      <c r="B11" s="493" t="s">
        <v>2341</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5" t="s">
        <v>2087</v>
      </c>
      <c r="C16" s="188">
        <v>0</v>
      </c>
      <c r="D16" s="188">
        <v>1</v>
      </c>
      <c r="E16" s="188">
        <v>6</v>
      </c>
      <c r="F16" s="188">
        <v>9</v>
      </c>
      <c r="G16" s="138">
        <v>-3</v>
      </c>
      <c r="H16" s="104" t="s">
        <v>1238</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51" t="s">
        <v>1456</v>
      </c>
      <c r="C17" s="113">
        <f>FACT(C16)</f>
        <v>1</v>
      </c>
      <c r="D17" s="113">
        <f>FACT(D16)</f>
        <v>1</v>
      </c>
      <c r="E17" s="113">
        <f>FACT(E16)</f>
        <v>720</v>
      </c>
      <c r="F17" s="113">
        <f>FACT(F16)</f>
        <v>362880</v>
      </c>
      <c r="G17" s="107" t="e">
        <f>FACT(G16)</f>
        <v>#NUM!</v>
      </c>
      <c r="H17" s="108" t="s">
        <v>2342</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G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G19" s="18"/>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G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G21" s="18"/>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G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G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G25" s="18"/>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2:48" s="93" customFormat="1" ht="16.5" customHeight="1">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2: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2: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2: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2: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2: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2: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2:48" s="93" customFormat="1" ht="16.5" customHeight="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2:48" s="93" customFormat="1" ht="16.5" customHeight="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2:48" s="93" customFormat="1" ht="16.5" customHeight="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2:48" s="93" customFormat="1" ht="16.5" customHeight="1">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2:48" s="93" customFormat="1" ht="16.5" customHeight="1">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2:48" s="93" customFormat="1" ht="16.5" customHeight="1">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2:48" s="93" customFormat="1" ht="16.5" customHeight="1">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2:48" s="93" customFormat="1" ht="16.5" customHeight="1">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2:48" s="93" customFormat="1" ht="16.5" customHeight="1">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2:48" s="93" customFormat="1" ht="16.5" customHeight="1">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2:48" s="93" customFormat="1" ht="16.5" customHeight="1">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2:48" s="93" customFormat="1" ht="16.5" customHeight="1">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2:48" s="93" customFormat="1" ht="16.5" customHeight="1">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2:48" s="93" customFormat="1" ht="16.5" customHeight="1">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2:48" s="93" customFormat="1" ht="16.5" customHeight="1">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12:48" s="93" customFormat="1" ht="16.5" customHeight="1">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2:48" s="93" customFormat="1" ht="16.5" customHeight="1">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12:48" s="93" customFormat="1" ht="16.5" customHeight="1">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2:48" s="93" customFormat="1" ht="16.5" customHeight="1">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12:48" s="93" customFormat="1" ht="16.5" customHeight="1">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2:48" s="93" customFormat="1" ht="16.5" customHeight="1">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12:48" s="93" customFormat="1" ht="16.5" customHeight="1">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2:48" s="93" customFormat="1" ht="16.5" customHeight="1">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12:48" s="93" customFormat="1" ht="16.5" customHeight="1">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2:48" s="93" customFormat="1" ht="16.5" customHeight="1">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2:48" s="93" customFormat="1" ht="16.5" customHeight="1">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2:48" s="93" customFormat="1" ht="16.5" customHeight="1">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2:48" s="93" customFormat="1" ht="16.5" customHeight="1">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2:48" s="93" customFormat="1" ht="16.5" customHeight="1">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2:48" s="93" customFormat="1" ht="16.5" customHeight="1">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2:48" s="93" customFormat="1" ht="16.5" customHeight="1">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2:48" s="93" customFormat="1" ht="16.5" customHeight="1">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2:48" s="93" customFormat="1" ht="16.5" customHeight="1">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2:48" s="93" customFormat="1" ht="16.5" customHeight="1">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2:48" s="93" customFormat="1" ht="16.5" customHeight="1">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2:48" s="93" customFormat="1" ht="16.5" customHeight="1">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2:48" s="93" customFormat="1" ht="16.5" customHeight="1">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2:48" s="93" customFormat="1" ht="16.5" customHeight="1">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2:48" s="93" customFormat="1" ht="16.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2:48" s="93" customFormat="1" ht="16.5" customHeight="1">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2:48" s="93" customFormat="1" ht="16.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1:48" s="93" customFormat="1" ht="16.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1:48" s="93" customFormat="1" ht="16.5" customHeight="1">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1:48" s="93" customFormat="1" ht="16.5" customHeight="1">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1:48" s="93" customFormat="1" ht="16.5" customHeight="1">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1:48" s="93" customFormat="1" ht="16.5" customHeight="1">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1:48" s="93" customFormat="1" ht="16.5" customHeight="1">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1:48" s="93" customFormat="1" ht="16.5" customHeight="1">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1:48" s="93" customFormat="1" ht="16.5" customHeight="1">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1:48" s="93" customFormat="1" ht="16.5" customHeight="1">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1:48" s="93" customFormat="1" ht="16.5" customHeight="1">
      <c r="A90" s="9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1:48" s="93" customFormat="1" ht="16.5" customHeight="1">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1:48" s="93" customFormat="1" ht="16.5" customHeight="1">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1:48" s="93" customFormat="1" ht="16.5" customHeight="1">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1:48" s="93" customFormat="1" ht="16.5" customHeight="1">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1:48" s="93" customFormat="1" ht="16.5" customHeight="1">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1:48" s="93" customFormat="1" ht="16.5" customHeight="1">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pans="1:48" s="93" customFormat="1" ht="16.5" customHeight="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row>
    <row r="99" spans="1:48" s="93" customFormat="1" ht="16.5" customHeight="1">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spans="1:48" s="88" customFormat="1" ht="26.25" customHeight="1">
      <c r="A100" s="498" t="s">
        <v>155</v>
      </c>
      <c r="B100" s="498"/>
      <c r="C100" s="499"/>
      <c r="D100" s="87"/>
      <c r="E100" s="500" t="str">
        <f>HYPERLINK("#目录!A90","跳转回到目录页")</f>
        <v>跳转回到目录页</v>
      </c>
      <c r="F100" s="501"/>
    </row>
    <row r="101" spans="1:48" s="88" customFormat="1" ht="26.25" customHeight="1">
      <c r="A101" s="502" t="s">
        <v>1216</v>
      </c>
      <c r="B101" s="502"/>
      <c r="C101" s="503" t="s">
        <v>156</v>
      </c>
      <c r="D101" s="503"/>
      <c r="E101" s="503"/>
      <c r="F101" s="503"/>
      <c r="G101" s="503"/>
      <c r="H101" s="503"/>
      <c r="I101" s="503"/>
      <c r="J101" s="503"/>
      <c r="K101" s="503"/>
      <c r="L101" s="503"/>
      <c r="M101" s="503"/>
    </row>
    <row r="102" spans="1:48" s="88" customFormat="1" ht="16.5" customHeight="1">
      <c r="A102" s="496" t="s">
        <v>1217</v>
      </c>
      <c r="B102" s="496"/>
      <c r="C102" s="493" t="s">
        <v>2343</v>
      </c>
      <c r="D102" s="493"/>
      <c r="E102" s="493"/>
      <c r="F102" s="493"/>
      <c r="G102" s="493"/>
      <c r="H102" s="493"/>
      <c r="I102" s="493"/>
      <c r="J102" s="493"/>
      <c r="K102" s="493"/>
      <c r="L102" s="493"/>
      <c r="M102" s="493"/>
    </row>
    <row r="103" spans="1:48" s="88" customFormat="1" ht="16.5" customHeight="1">
      <c r="A103" s="496" t="s">
        <v>5786</v>
      </c>
      <c r="B103" s="496"/>
      <c r="C103" s="497" t="s">
        <v>156</v>
      </c>
      <c r="D103" s="497"/>
      <c r="E103" s="497"/>
      <c r="F103" s="497"/>
      <c r="G103" s="497"/>
      <c r="H103" s="497"/>
      <c r="I103" s="497"/>
      <c r="J103" s="497"/>
      <c r="K103" s="497"/>
      <c r="L103" s="497"/>
      <c r="M103" s="497"/>
    </row>
    <row r="104" spans="1:48" s="88" customFormat="1" ht="16.5" customHeight="1">
      <c r="A104" s="496" t="s">
        <v>1220</v>
      </c>
      <c r="B104" s="496"/>
      <c r="C104" s="493" t="s">
        <v>2344</v>
      </c>
      <c r="D104" s="493"/>
      <c r="E104" s="493"/>
      <c r="F104" s="493"/>
      <c r="G104" s="493"/>
      <c r="H104" s="493"/>
      <c r="I104" s="493"/>
      <c r="J104" s="493"/>
      <c r="K104" s="493"/>
      <c r="L104" s="493"/>
      <c r="M104" s="493"/>
    </row>
    <row r="105" spans="1:48" s="88" customFormat="1" ht="16.5" customHeight="1">
      <c r="A105" s="496" t="s">
        <v>5785</v>
      </c>
      <c r="B105" s="496"/>
      <c r="C105" s="493" t="s">
        <v>2338</v>
      </c>
      <c r="D105" s="493"/>
      <c r="E105" s="493"/>
      <c r="F105" s="493"/>
      <c r="G105" s="493"/>
      <c r="H105" s="493"/>
      <c r="I105" s="493"/>
      <c r="J105" s="493"/>
      <c r="K105" s="493"/>
      <c r="L105" s="493"/>
      <c r="M105" s="493"/>
    </row>
    <row r="106" spans="1:48" s="88" customFormat="1" ht="16.5" customHeight="1">
      <c r="A106" s="89" t="s">
        <v>1223</v>
      </c>
      <c r="B106" s="92" t="s">
        <v>2200</v>
      </c>
      <c r="C106" s="493" t="s">
        <v>2345</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t="s">
        <v>2346</v>
      </c>
      <c r="C109" s="493"/>
      <c r="D109" s="493"/>
      <c r="E109" s="493"/>
      <c r="F109" s="493"/>
      <c r="G109" s="493"/>
      <c r="H109" s="493"/>
      <c r="I109" s="493"/>
      <c r="J109" s="493"/>
      <c r="K109" s="493"/>
      <c r="L109" s="493"/>
      <c r="M109" s="493"/>
    </row>
    <row r="110" spans="1:48" ht="37.5" customHeight="1">
      <c r="A110" s="89" t="s">
        <v>1229</v>
      </c>
      <c r="B110" s="493" t="s">
        <v>2347</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8" s="93" customFormat="1" ht="16.5" customHeight="1">
      <c r="A113" s="94" t="s">
        <v>1232</v>
      </c>
      <c r="B113" s="93" t="s">
        <v>1773</v>
      </c>
    </row>
    <row r="114" spans="1:8" ht="16.5" customHeight="1">
      <c r="G114" s="18"/>
    </row>
    <row r="115" spans="1:8" ht="16.5" customHeight="1">
      <c r="B115" s="95" t="s">
        <v>2087</v>
      </c>
      <c r="C115" s="188">
        <v>0</v>
      </c>
      <c r="D115" s="188">
        <v>1</v>
      </c>
      <c r="E115" s="188">
        <v>6</v>
      </c>
      <c r="F115" s="188">
        <v>9</v>
      </c>
      <c r="G115" s="138">
        <v>-3</v>
      </c>
      <c r="H115" s="104" t="s">
        <v>1238</v>
      </c>
    </row>
    <row r="116" spans="1:8" ht="16.5" customHeight="1">
      <c r="B116" s="151" t="s">
        <v>1456</v>
      </c>
      <c r="C116" s="113">
        <f>FACTDOUBLE(C115)</f>
        <v>1</v>
      </c>
      <c r="D116" s="113">
        <f>FACTDOUBLE(D115)</f>
        <v>1</v>
      </c>
      <c r="E116" s="113">
        <f>FACTDOUBLE(E115)</f>
        <v>48</v>
      </c>
      <c r="F116" s="113">
        <f>FACTDOUBLE(F115)</f>
        <v>945</v>
      </c>
      <c r="G116" s="113" t="e">
        <f>FACTDOUBLE(G115)</f>
        <v>#NUM!</v>
      </c>
      <c r="H116" s="108" t="s">
        <v>2348</v>
      </c>
    </row>
    <row r="117" spans="1:8" ht="16.5" customHeight="1">
      <c r="B117" s="93"/>
      <c r="C117" s="93"/>
      <c r="D117" s="93"/>
      <c r="E117" s="93"/>
      <c r="F117" s="93"/>
      <c r="H117" s="93"/>
    </row>
    <row r="118" spans="1:8" ht="16.5" customHeight="1">
      <c r="G118" s="189"/>
    </row>
    <row r="119" spans="1:8">
      <c r="G119" s="189"/>
    </row>
    <row r="120" spans="1:8">
      <c r="F120" s="219"/>
      <c r="G120" s="189"/>
    </row>
    <row r="121" spans="1:8">
      <c r="F121" s="189"/>
      <c r="G121" s="189"/>
    </row>
    <row r="122" spans="1:8">
      <c r="F122" s="189"/>
      <c r="G122" s="189"/>
    </row>
    <row r="123" spans="1:8">
      <c r="F123" s="189"/>
      <c r="G123" s="189"/>
    </row>
    <row r="124" spans="1:8">
      <c r="F124" s="189"/>
      <c r="G124" s="189"/>
    </row>
    <row r="125" spans="1:8">
      <c r="F125" s="189"/>
      <c r="G125" s="189"/>
    </row>
    <row r="126" spans="1:8">
      <c r="F126" s="189"/>
      <c r="G126" s="189"/>
    </row>
    <row r="127" spans="1:8">
      <c r="F127" s="189"/>
      <c r="G127" s="189"/>
    </row>
    <row r="128" spans="1:8">
      <c r="F128" s="189"/>
      <c r="G128" s="189"/>
    </row>
    <row r="129" spans="6:7">
      <c r="F129" s="189"/>
      <c r="G129" s="189"/>
    </row>
    <row r="130" spans="6:7">
      <c r="F130" s="189"/>
      <c r="G130" s="189"/>
    </row>
    <row r="131" spans="6:7">
      <c r="F131" s="189"/>
      <c r="G131" s="189"/>
    </row>
    <row r="132" spans="6:7">
      <c r="F132" s="189"/>
      <c r="G132" s="189"/>
    </row>
    <row r="133" spans="6:7">
      <c r="F133" s="189"/>
      <c r="G133" s="189"/>
    </row>
    <row r="134" spans="6:7">
      <c r="F134" s="189"/>
      <c r="G134" s="189"/>
    </row>
    <row r="135" spans="6:7">
      <c r="F135" s="189"/>
      <c r="G135" s="189"/>
    </row>
    <row r="136" spans="6:7">
      <c r="F136" s="189"/>
      <c r="G136" s="189"/>
    </row>
    <row r="137" spans="6:7">
      <c r="F137" s="189"/>
      <c r="G137" s="189"/>
    </row>
    <row r="138" spans="6:7">
      <c r="F138" s="189"/>
      <c r="G138" s="189"/>
    </row>
    <row r="139" spans="6:7">
      <c r="F139" s="189"/>
      <c r="G139" s="189"/>
    </row>
    <row r="140" spans="6:7">
      <c r="F140" s="189"/>
      <c r="G140" s="189"/>
    </row>
    <row r="141" spans="6:7">
      <c r="F141" s="189"/>
      <c r="G141" s="189"/>
    </row>
    <row r="142" spans="6:7">
      <c r="F142" s="189"/>
      <c r="G142" s="189"/>
    </row>
    <row r="143" spans="6:7">
      <c r="F143" s="189"/>
      <c r="G143" s="189"/>
    </row>
    <row r="144" spans="6:7">
      <c r="F144" s="189"/>
      <c r="G144" s="189"/>
    </row>
    <row r="145" spans="6:7">
      <c r="F145" s="189"/>
      <c r="G145" s="189"/>
    </row>
    <row r="146" spans="6:7">
      <c r="F146" s="189"/>
      <c r="G146" s="189"/>
    </row>
    <row r="147" spans="6:7">
      <c r="F147" s="189"/>
      <c r="G147" s="189"/>
    </row>
    <row r="148" spans="6:7">
      <c r="F148" s="189"/>
      <c r="G148" s="189"/>
    </row>
    <row r="149" spans="6:7">
      <c r="F149" s="189"/>
      <c r="G149" s="189"/>
    </row>
    <row r="150" spans="6:7">
      <c r="F150" s="189"/>
      <c r="G150" s="189"/>
    </row>
    <row r="151" spans="6:7">
      <c r="F151" s="189"/>
      <c r="G151" s="189"/>
    </row>
    <row r="152" spans="6:7">
      <c r="F152" s="189"/>
      <c r="G152" s="189"/>
    </row>
    <row r="153" spans="6:7">
      <c r="F153" s="189"/>
      <c r="G153" s="189"/>
    </row>
    <row r="154" spans="6:7">
      <c r="F154" s="189"/>
      <c r="G154" s="189"/>
    </row>
    <row r="155" spans="6:7">
      <c r="F155" s="189"/>
      <c r="G155" s="189"/>
    </row>
    <row r="156" spans="6:7">
      <c r="F156" s="189"/>
      <c r="G156" s="189"/>
    </row>
    <row r="157" spans="6:7">
      <c r="F157" s="189"/>
      <c r="G157" s="189"/>
    </row>
    <row r="158" spans="6:7">
      <c r="F158" s="189"/>
      <c r="G158" s="189"/>
    </row>
    <row r="159" spans="6:7">
      <c r="F159" s="189"/>
      <c r="G159" s="189"/>
    </row>
    <row r="160" spans="6:7">
      <c r="F160" s="189"/>
      <c r="G160" s="189"/>
    </row>
    <row r="161" spans="6:7">
      <c r="F161" s="189"/>
      <c r="G161" s="189"/>
    </row>
    <row r="162" spans="6:7">
      <c r="F162" s="189"/>
      <c r="G162" s="189"/>
    </row>
    <row r="163" spans="6:7">
      <c r="F163" s="189"/>
      <c r="G163" s="189"/>
    </row>
    <row r="164" spans="6:7">
      <c r="F164" s="189"/>
      <c r="G164" s="189"/>
    </row>
    <row r="165" spans="6:7">
      <c r="F165" s="189"/>
      <c r="G165" s="189"/>
    </row>
    <row r="166" spans="6:7">
      <c r="F166" s="189"/>
      <c r="G166" s="189"/>
    </row>
    <row r="167" spans="6:7">
      <c r="F167" s="189"/>
      <c r="G167" s="189"/>
    </row>
    <row r="168" spans="6:7">
      <c r="F168" s="189"/>
      <c r="G168" s="189"/>
    </row>
    <row r="169" spans="6:7">
      <c r="F169" s="189"/>
      <c r="G169" s="189"/>
    </row>
    <row r="170" spans="6:7">
      <c r="F170" s="189"/>
      <c r="G170" s="189"/>
    </row>
    <row r="171" spans="6:7">
      <c r="F171" s="189"/>
      <c r="G171" s="189"/>
    </row>
    <row r="172" spans="6:7">
      <c r="F172" s="189"/>
      <c r="G172" s="189"/>
    </row>
    <row r="173" spans="6:7">
      <c r="F173" s="189"/>
      <c r="G173" s="189"/>
    </row>
    <row r="174" spans="6:7">
      <c r="F174" s="189"/>
      <c r="G174" s="189"/>
    </row>
    <row r="175" spans="6:7">
      <c r="F175" s="189"/>
      <c r="G175" s="189"/>
    </row>
    <row r="176" spans="6:7">
      <c r="F176" s="189"/>
      <c r="G176" s="189"/>
    </row>
    <row r="177" spans="6:7">
      <c r="F177" s="189"/>
      <c r="G177" s="189"/>
    </row>
    <row r="178" spans="6:7">
      <c r="F178" s="189"/>
      <c r="G178" s="189"/>
    </row>
    <row r="180" spans="6:7">
      <c r="F180" s="18"/>
      <c r="G180" s="18"/>
    </row>
    <row r="182" spans="6:7">
      <c r="F182" s="18"/>
    </row>
    <row r="186" spans="6:7">
      <c r="F186" s="18"/>
    </row>
    <row r="187" spans="6:7">
      <c r="F187" s="189"/>
    </row>
    <row r="188" spans="6:7">
      <c r="F188" s="189"/>
    </row>
    <row r="189" spans="6:7">
      <c r="F189" s="189"/>
    </row>
    <row r="190" spans="6:7">
      <c r="F190" s="189"/>
    </row>
    <row r="191" spans="6:7">
      <c r="F191" s="189"/>
    </row>
    <row r="192" spans="6:7">
      <c r="F192" s="189"/>
    </row>
    <row r="193" spans="1:13">
      <c r="F193" s="189"/>
    </row>
    <row r="194" spans="1:13">
      <c r="F194" s="189"/>
    </row>
    <row r="195" spans="1:13">
      <c r="F195" s="189"/>
    </row>
    <row r="196" spans="1:13">
      <c r="F196" s="189"/>
    </row>
    <row r="200" spans="1:13" s="88" customFormat="1" ht="26.25" customHeight="1">
      <c r="A200" s="498" t="s">
        <v>157</v>
      </c>
      <c r="B200" s="498"/>
      <c r="C200" s="499"/>
      <c r="D200" s="87"/>
      <c r="E200" s="500" t="str">
        <f>HYPERLINK("#目录!A91","跳转回到目录页")</f>
        <v>跳转回到目录页</v>
      </c>
      <c r="F200" s="501"/>
    </row>
    <row r="201" spans="1:13" s="88" customFormat="1" ht="26.25" customHeight="1">
      <c r="A201" s="502" t="s">
        <v>1216</v>
      </c>
      <c r="B201" s="502"/>
      <c r="C201" s="503" t="s">
        <v>158</v>
      </c>
      <c r="D201" s="503"/>
      <c r="E201" s="503"/>
      <c r="F201" s="503"/>
      <c r="G201" s="503"/>
      <c r="H201" s="503"/>
      <c r="I201" s="503"/>
      <c r="J201" s="503"/>
      <c r="K201" s="503"/>
      <c r="L201" s="503"/>
      <c r="M201" s="503"/>
    </row>
    <row r="202" spans="1:13" s="88" customFormat="1" ht="16.5" customHeight="1">
      <c r="A202" s="496" t="s">
        <v>1217</v>
      </c>
      <c r="B202" s="496"/>
      <c r="C202" s="493" t="s">
        <v>2349</v>
      </c>
      <c r="D202" s="493"/>
      <c r="E202" s="493"/>
      <c r="F202" s="493"/>
      <c r="G202" s="493"/>
      <c r="H202" s="493"/>
      <c r="I202" s="493"/>
      <c r="J202" s="493"/>
      <c r="K202" s="493"/>
      <c r="L202" s="493"/>
      <c r="M202" s="493"/>
    </row>
    <row r="203" spans="1:13" s="88" customFormat="1" ht="16.5" customHeight="1">
      <c r="A203" s="496" t="s">
        <v>5786</v>
      </c>
      <c r="B203" s="496"/>
      <c r="C203" s="497" t="s">
        <v>5941</v>
      </c>
      <c r="D203" s="497"/>
      <c r="E203" s="497"/>
      <c r="F203" s="497"/>
      <c r="G203" s="497"/>
      <c r="H203" s="497"/>
      <c r="I203" s="497"/>
      <c r="J203" s="497"/>
      <c r="K203" s="497"/>
      <c r="L203" s="497"/>
      <c r="M203" s="497"/>
    </row>
    <row r="204" spans="1:13" s="88" customFormat="1" ht="16.5" customHeight="1">
      <c r="A204" s="496" t="s">
        <v>1220</v>
      </c>
      <c r="B204" s="496"/>
      <c r="C204" s="493" t="s">
        <v>2350</v>
      </c>
      <c r="D204" s="493"/>
      <c r="E204" s="493"/>
      <c r="F204" s="493"/>
      <c r="G204" s="493"/>
      <c r="H204" s="493"/>
      <c r="I204" s="493"/>
      <c r="J204" s="493"/>
      <c r="K204" s="493"/>
      <c r="L204" s="493"/>
      <c r="M204" s="493"/>
    </row>
    <row r="205" spans="1:13" s="88" customFormat="1" ht="16.5" customHeight="1">
      <c r="A205" s="496" t="s">
        <v>5785</v>
      </c>
      <c r="B205" s="496"/>
      <c r="C205" s="493" t="s">
        <v>2351</v>
      </c>
      <c r="D205" s="493"/>
      <c r="E205" s="493"/>
      <c r="F205" s="493"/>
      <c r="G205" s="493"/>
      <c r="H205" s="493"/>
      <c r="I205" s="493"/>
      <c r="J205" s="493"/>
      <c r="K205" s="493"/>
      <c r="L205" s="493"/>
      <c r="M205" s="493"/>
    </row>
    <row r="206" spans="1:13" s="88" customFormat="1" ht="16.5" customHeight="1">
      <c r="A206" s="89" t="s">
        <v>1223</v>
      </c>
      <c r="B206" s="92" t="s">
        <v>2200</v>
      </c>
      <c r="C206" s="493" t="s">
        <v>2352</v>
      </c>
      <c r="D206" s="493"/>
      <c r="E206" s="493"/>
      <c r="F206" s="493"/>
      <c r="G206" s="493"/>
      <c r="H206" s="493"/>
      <c r="I206" s="493"/>
      <c r="J206" s="493"/>
      <c r="K206" s="493"/>
      <c r="L206" s="493"/>
      <c r="M206" s="493"/>
    </row>
    <row r="207" spans="1:13" s="88" customFormat="1" ht="24.75" customHeight="1">
      <c r="A207" s="89"/>
      <c r="B207" s="92" t="s">
        <v>2353</v>
      </c>
      <c r="C207" s="493" t="s">
        <v>2354</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37.5" customHeight="1">
      <c r="A209" s="89" t="s">
        <v>1228</v>
      </c>
      <c r="B209" s="493" t="s">
        <v>2355</v>
      </c>
      <c r="C209" s="493"/>
      <c r="D209" s="493"/>
      <c r="E209" s="493"/>
      <c r="F209" s="493"/>
      <c r="G209" s="493"/>
      <c r="H209" s="493"/>
      <c r="I209" s="493"/>
      <c r="J209" s="493"/>
      <c r="K209" s="493"/>
      <c r="L209" s="493"/>
      <c r="M209" s="493"/>
    </row>
    <row r="210" spans="1:13" ht="52.5" customHeight="1">
      <c r="A210" s="89" t="s">
        <v>1229</v>
      </c>
      <c r="B210" s="493" t="s">
        <v>2356</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B214" s="93"/>
      <c r="C214" s="93"/>
      <c r="D214" s="93"/>
      <c r="E214" s="93"/>
      <c r="F214" s="93"/>
      <c r="G214" s="93"/>
      <c r="H214" s="93"/>
      <c r="I214" s="93"/>
      <c r="J214" s="93"/>
      <c r="K214" s="93"/>
      <c r="L214" s="93"/>
    </row>
    <row r="215" spans="1:13" ht="16.5" customHeight="1">
      <c r="B215" s="93" t="s">
        <v>2357</v>
      </c>
      <c r="C215" s="93"/>
      <c r="D215" s="93"/>
      <c r="E215" s="93"/>
      <c r="F215" s="93"/>
      <c r="G215" s="93"/>
      <c r="H215" s="93"/>
      <c r="I215" s="93"/>
      <c r="J215" s="93"/>
      <c r="K215" s="93"/>
      <c r="L215" s="93"/>
    </row>
    <row r="216" spans="1:13" ht="16.5" customHeight="1">
      <c r="B216" s="187" t="s">
        <v>2358</v>
      </c>
      <c r="C216" s="188">
        <v>10</v>
      </c>
      <c r="D216" s="188">
        <v>11</v>
      </c>
      <c r="E216" s="188">
        <v>12</v>
      </c>
      <c r="F216" s="188">
        <v>13</v>
      </c>
      <c r="G216" s="188">
        <v>14</v>
      </c>
      <c r="H216" s="188">
        <v>15</v>
      </c>
      <c r="I216" s="188">
        <v>16</v>
      </c>
      <c r="J216" s="188">
        <v>17</v>
      </c>
      <c r="K216" s="138">
        <v>18</v>
      </c>
      <c r="L216" s="104" t="s">
        <v>1238</v>
      </c>
    </row>
    <row r="217" spans="1:13" ht="16.5" customHeight="1">
      <c r="B217" s="99" t="s">
        <v>2359</v>
      </c>
      <c r="C217" s="110">
        <f>PERMUT(C216,2)</f>
        <v>90</v>
      </c>
      <c r="D217" s="110">
        <f t="shared" ref="D217:K217" si="0">PERMUT(D216,2)</f>
        <v>110</v>
      </c>
      <c r="E217" s="110">
        <f t="shared" si="0"/>
        <v>132</v>
      </c>
      <c r="F217" s="110">
        <f t="shared" si="0"/>
        <v>156</v>
      </c>
      <c r="G217" s="110">
        <f t="shared" si="0"/>
        <v>182</v>
      </c>
      <c r="H217" s="110">
        <f t="shared" si="0"/>
        <v>210</v>
      </c>
      <c r="I217" s="110">
        <f t="shared" si="0"/>
        <v>240</v>
      </c>
      <c r="J217" s="110">
        <f t="shared" si="0"/>
        <v>272</v>
      </c>
      <c r="K217" s="101">
        <f t="shared" si="0"/>
        <v>306</v>
      </c>
      <c r="L217" s="108" t="s">
        <v>2360</v>
      </c>
    </row>
    <row r="218" spans="1:13" ht="16.5" customHeight="1">
      <c r="B218" s="105" t="s">
        <v>2361</v>
      </c>
      <c r="C218" s="295">
        <f>1/C217</f>
        <v>1.1111111111111112E-2</v>
      </c>
      <c r="D218" s="295">
        <f t="shared" ref="D218:K218" si="1">1/D217</f>
        <v>9.0909090909090905E-3</v>
      </c>
      <c r="E218" s="295">
        <f t="shared" si="1"/>
        <v>7.575757575757576E-3</v>
      </c>
      <c r="F218" s="295">
        <f t="shared" si="1"/>
        <v>6.41025641025641E-3</v>
      </c>
      <c r="G218" s="295">
        <f t="shared" si="1"/>
        <v>5.4945054945054949E-3</v>
      </c>
      <c r="H218" s="295">
        <f t="shared" si="1"/>
        <v>4.7619047619047623E-3</v>
      </c>
      <c r="I218" s="295">
        <f t="shared" si="1"/>
        <v>4.1666666666666666E-3</v>
      </c>
      <c r="J218" s="295">
        <f t="shared" si="1"/>
        <v>3.6764705882352941E-3</v>
      </c>
      <c r="K218" s="296">
        <f t="shared" si="1"/>
        <v>3.2679738562091504E-3</v>
      </c>
      <c r="L218" s="93"/>
    </row>
    <row r="219" spans="1:13" ht="16.5" customHeight="1"/>
    <row r="220" spans="1:13" ht="24.75" customHeight="1">
      <c r="B220" s="509" t="s">
        <v>2362</v>
      </c>
      <c r="C220" s="509"/>
      <c r="D220" s="509"/>
      <c r="E220" s="509"/>
      <c r="F220" s="509"/>
      <c r="G220" s="509"/>
      <c r="H220" s="509"/>
      <c r="I220" s="509"/>
      <c r="J220" s="509"/>
      <c r="K220" s="509"/>
      <c r="L220" s="509"/>
    </row>
    <row r="221" spans="1:13" ht="16.5" customHeight="1">
      <c r="B221" s="93"/>
      <c r="C221" s="93"/>
      <c r="D221" s="93"/>
      <c r="E221" s="93"/>
      <c r="F221" s="93"/>
      <c r="G221" s="93"/>
      <c r="H221" s="93"/>
      <c r="I221" s="93"/>
      <c r="J221" s="93"/>
      <c r="K221" s="93"/>
      <c r="L221" s="93"/>
    </row>
    <row r="222" spans="1:13" ht="16.5" customHeight="1">
      <c r="B222" s="93"/>
      <c r="C222" s="93"/>
      <c r="D222" s="93"/>
      <c r="E222" s="93"/>
      <c r="F222" s="93"/>
      <c r="G222" s="93"/>
      <c r="H222" s="93"/>
      <c r="I222" s="93"/>
      <c r="J222" s="93"/>
      <c r="K222" s="93"/>
      <c r="L222" s="93"/>
    </row>
    <row r="223" spans="1:13" ht="16.5" customHeight="1">
      <c r="B223" s="93"/>
      <c r="C223" s="93"/>
      <c r="D223" s="93"/>
      <c r="E223" s="93"/>
      <c r="F223" s="93"/>
      <c r="G223" s="93"/>
      <c r="H223" s="93"/>
      <c r="I223" s="93"/>
      <c r="J223" s="93"/>
      <c r="K223" s="93"/>
      <c r="L223" s="93"/>
    </row>
    <row r="224" spans="1:13" ht="16.5" customHeight="1">
      <c r="B224" s="93"/>
      <c r="C224" s="93"/>
      <c r="D224" s="93"/>
      <c r="E224" s="93"/>
      <c r="F224" s="93"/>
      <c r="G224" s="93"/>
      <c r="H224" s="93"/>
      <c r="I224" s="93"/>
      <c r="J224" s="93"/>
      <c r="K224" s="93"/>
      <c r="L224" s="93"/>
    </row>
    <row r="225" spans="2:12" ht="16.5" customHeight="1">
      <c r="B225" s="93"/>
      <c r="C225" s="93"/>
      <c r="D225" s="93"/>
      <c r="E225" s="93"/>
      <c r="F225" s="93"/>
      <c r="G225" s="93"/>
      <c r="H225" s="93"/>
      <c r="I225" s="93"/>
      <c r="J225" s="93"/>
      <c r="K225" s="93"/>
      <c r="L225" s="93"/>
    </row>
    <row r="226" spans="2:12" ht="16.5" customHeight="1">
      <c r="B226" s="93"/>
      <c r="C226" s="93"/>
      <c r="D226" s="93"/>
      <c r="E226" s="93"/>
      <c r="F226" s="93"/>
      <c r="G226" s="93"/>
      <c r="H226" s="93"/>
      <c r="I226" s="93"/>
      <c r="J226" s="93"/>
      <c r="K226" s="93"/>
      <c r="L226" s="93"/>
    </row>
    <row r="227" spans="2:12" ht="16.5" customHeight="1">
      <c r="B227" s="93"/>
      <c r="C227" s="93"/>
      <c r="D227" s="93"/>
      <c r="E227" s="93"/>
      <c r="F227" s="93"/>
      <c r="G227" s="93"/>
      <c r="H227" s="93"/>
      <c r="I227" s="93"/>
      <c r="J227" s="93"/>
      <c r="K227" s="93"/>
      <c r="L227" s="93"/>
    </row>
    <row r="228" spans="2:12" ht="16.5" customHeight="1">
      <c r="B228" s="93"/>
      <c r="C228" s="93"/>
      <c r="D228" s="93"/>
      <c r="E228" s="93"/>
      <c r="F228" s="93"/>
      <c r="G228" s="93"/>
      <c r="H228" s="93"/>
      <c r="I228" s="93"/>
      <c r="J228" s="93"/>
      <c r="K228" s="93"/>
      <c r="L228" s="93"/>
    </row>
    <row r="229" spans="2:12" ht="16.5" customHeight="1">
      <c r="B229" s="93"/>
      <c r="C229" s="93"/>
      <c r="D229" s="93"/>
      <c r="E229" s="93"/>
      <c r="F229" s="93"/>
      <c r="G229" s="93"/>
      <c r="H229" s="93"/>
      <c r="I229" s="93"/>
      <c r="J229" s="93"/>
      <c r="K229" s="93"/>
      <c r="L229" s="93"/>
    </row>
    <row r="230" spans="2:12" ht="16.5" customHeight="1">
      <c r="B230" s="93"/>
      <c r="C230" s="93"/>
      <c r="D230" s="93"/>
      <c r="E230" s="93"/>
      <c r="F230" s="93"/>
      <c r="G230" s="93"/>
      <c r="H230" s="93"/>
      <c r="I230" s="93"/>
      <c r="J230" s="93"/>
      <c r="K230" s="93"/>
      <c r="L230" s="93"/>
    </row>
    <row r="231" spans="2:12" ht="16.5" customHeight="1">
      <c r="B231" s="93"/>
      <c r="C231" s="93"/>
      <c r="D231" s="93"/>
      <c r="E231" s="93"/>
      <c r="F231" s="93"/>
      <c r="G231" s="93"/>
      <c r="H231" s="93"/>
      <c r="I231" s="93"/>
      <c r="J231" s="93"/>
      <c r="K231" s="93"/>
      <c r="L231" s="93"/>
    </row>
    <row r="232" spans="2:12" ht="16.5" customHeight="1">
      <c r="B232" s="93"/>
      <c r="C232" s="93"/>
      <c r="D232" s="93"/>
      <c r="E232" s="93"/>
      <c r="F232" s="93"/>
      <c r="G232" s="93"/>
      <c r="H232" s="93"/>
      <c r="I232" s="93"/>
      <c r="J232" s="93"/>
      <c r="K232" s="93"/>
      <c r="L232" s="93"/>
    </row>
    <row r="233" spans="2:12" ht="16.5" customHeight="1">
      <c r="B233" s="93"/>
      <c r="C233" s="93"/>
      <c r="D233" s="93"/>
      <c r="E233" s="93"/>
      <c r="F233" s="93"/>
      <c r="G233" s="93"/>
      <c r="H233" s="93"/>
      <c r="I233" s="93"/>
      <c r="J233" s="93"/>
      <c r="K233" s="93"/>
      <c r="L233" s="93"/>
    </row>
    <row r="234" spans="2:12" ht="16.5" customHeight="1">
      <c r="B234" s="93"/>
      <c r="C234" s="93"/>
      <c r="D234" s="93"/>
      <c r="E234" s="93"/>
      <c r="F234" s="93"/>
      <c r="G234" s="93"/>
      <c r="H234" s="93"/>
      <c r="I234" s="93"/>
      <c r="J234" s="93"/>
      <c r="K234" s="93"/>
      <c r="L234" s="93"/>
    </row>
    <row r="235" spans="2:12" ht="16.5" customHeight="1">
      <c r="B235" s="93"/>
      <c r="C235" s="93"/>
      <c r="D235" s="93"/>
      <c r="E235" s="93"/>
      <c r="F235" s="93"/>
      <c r="G235" s="93"/>
      <c r="H235" s="93"/>
      <c r="I235" s="93"/>
      <c r="J235" s="93"/>
      <c r="K235" s="93"/>
      <c r="L235" s="93"/>
    </row>
    <row r="236" spans="2:12" ht="16.5" customHeight="1">
      <c r="B236" s="93"/>
      <c r="C236" s="93"/>
      <c r="D236" s="93"/>
      <c r="E236" s="93"/>
      <c r="F236" s="93"/>
      <c r="G236" s="93"/>
      <c r="H236" s="93"/>
      <c r="I236" s="93"/>
      <c r="J236" s="93"/>
      <c r="K236" s="93"/>
      <c r="L236" s="93"/>
    </row>
    <row r="237" spans="2:12" ht="16.5" customHeight="1">
      <c r="B237" s="93"/>
      <c r="C237" s="93"/>
      <c r="D237" s="93"/>
      <c r="E237" s="93"/>
      <c r="F237" s="93"/>
      <c r="G237" s="93"/>
      <c r="H237" s="93"/>
      <c r="I237" s="93"/>
      <c r="J237" s="93"/>
      <c r="K237" s="93"/>
      <c r="L237" s="93"/>
    </row>
    <row r="238" spans="2:12" ht="16.5" customHeight="1">
      <c r="B238" s="93"/>
      <c r="C238" s="93"/>
      <c r="D238" s="93"/>
      <c r="E238" s="93"/>
      <c r="F238" s="93"/>
      <c r="G238" s="93"/>
      <c r="H238" s="93"/>
      <c r="I238" s="93"/>
      <c r="J238" s="93"/>
      <c r="K238" s="93"/>
      <c r="L238" s="93"/>
    </row>
    <row r="239" spans="2:12" ht="16.5" customHeight="1">
      <c r="B239" s="93"/>
      <c r="C239" s="93"/>
      <c r="D239" s="93"/>
      <c r="E239" s="93"/>
      <c r="F239" s="93"/>
      <c r="G239" s="93"/>
      <c r="H239" s="93"/>
      <c r="I239" s="93"/>
      <c r="J239" s="93"/>
      <c r="K239" s="93"/>
      <c r="L239" s="93"/>
    </row>
    <row r="240" spans="2:12" ht="16.5" customHeight="1">
      <c r="B240" s="93"/>
      <c r="C240" s="93"/>
      <c r="D240" s="93"/>
      <c r="E240" s="93"/>
      <c r="F240" s="93"/>
      <c r="G240" s="93"/>
      <c r="H240" s="93"/>
      <c r="I240" s="93"/>
      <c r="J240" s="93"/>
      <c r="K240" s="93"/>
      <c r="L240" s="93"/>
    </row>
    <row r="241" spans="2:12" ht="16.5" customHeight="1">
      <c r="B241" s="93"/>
      <c r="C241" s="93"/>
      <c r="D241" s="93"/>
      <c r="E241" s="93"/>
      <c r="F241" s="93"/>
      <c r="G241" s="93"/>
      <c r="H241" s="93"/>
      <c r="I241" s="93"/>
      <c r="J241" s="93"/>
      <c r="K241" s="93"/>
      <c r="L241" s="93"/>
    </row>
    <row r="242" spans="2:12" ht="16.5" customHeight="1">
      <c r="B242" s="93"/>
      <c r="C242" s="93"/>
      <c r="D242" s="93"/>
      <c r="E242" s="93"/>
      <c r="F242" s="93"/>
      <c r="G242" s="93"/>
      <c r="H242" s="93"/>
      <c r="I242" s="93"/>
      <c r="J242" s="93"/>
      <c r="K242" s="93"/>
      <c r="L242" s="93"/>
    </row>
    <row r="243" spans="2:12" ht="16.5" customHeight="1">
      <c r="B243" s="93"/>
      <c r="C243" s="93"/>
      <c r="D243" s="93"/>
      <c r="E243" s="93"/>
      <c r="F243" s="93"/>
      <c r="G243" s="93"/>
      <c r="H243" s="93"/>
      <c r="I243" s="93"/>
      <c r="J243" s="93"/>
      <c r="K243" s="93"/>
      <c r="L243" s="93"/>
    </row>
    <row r="244" spans="2:12" ht="16.5" customHeight="1">
      <c r="B244" s="93"/>
      <c r="C244" s="93"/>
      <c r="D244" s="93"/>
      <c r="E244" s="93"/>
      <c r="F244" s="93"/>
      <c r="G244" s="93"/>
      <c r="H244" s="93"/>
      <c r="I244" s="93"/>
      <c r="J244" s="93"/>
      <c r="K244" s="93"/>
      <c r="L244" s="93"/>
    </row>
    <row r="245" spans="2:12" ht="16.5" customHeight="1">
      <c r="B245" s="93"/>
      <c r="C245" s="93"/>
      <c r="D245" s="93"/>
      <c r="E245" s="93"/>
      <c r="F245" s="93"/>
      <c r="G245" s="93"/>
      <c r="H245" s="93"/>
      <c r="I245" s="93"/>
      <c r="J245" s="93"/>
      <c r="K245" s="93"/>
      <c r="L245" s="93"/>
    </row>
    <row r="246" spans="2:12" ht="16.5" customHeight="1">
      <c r="B246" s="93"/>
      <c r="C246" s="93"/>
      <c r="D246" s="93"/>
      <c r="E246" s="93"/>
      <c r="F246" s="93"/>
      <c r="G246" s="93"/>
      <c r="H246" s="93"/>
      <c r="I246" s="93"/>
      <c r="J246" s="93"/>
      <c r="K246" s="93"/>
      <c r="L246" s="93"/>
    </row>
    <row r="247" spans="2:12" ht="16.5" customHeight="1">
      <c r="B247" s="93"/>
      <c r="C247" s="93"/>
      <c r="D247" s="93"/>
      <c r="E247" s="93"/>
      <c r="F247" s="93"/>
      <c r="G247" s="93"/>
      <c r="H247" s="93"/>
      <c r="I247" s="93"/>
      <c r="J247" s="93"/>
      <c r="K247" s="93"/>
      <c r="L247" s="93"/>
    </row>
    <row r="248" spans="2:12" ht="16.5" customHeight="1">
      <c r="B248" s="93"/>
      <c r="C248" s="93"/>
      <c r="D248" s="93"/>
      <c r="E248" s="93"/>
      <c r="F248" s="93"/>
      <c r="G248" s="93"/>
      <c r="H248" s="93"/>
      <c r="I248" s="93"/>
      <c r="J248" s="93"/>
      <c r="K248" s="93"/>
      <c r="L248" s="93"/>
    </row>
    <row r="249" spans="2:12" ht="16.5" customHeight="1">
      <c r="B249" s="93"/>
      <c r="C249" s="93"/>
      <c r="D249" s="93"/>
      <c r="E249" s="93"/>
      <c r="F249" s="93"/>
      <c r="G249" s="93"/>
      <c r="H249" s="93"/>
      <c r="I249" s="93"/>
      <c r="J249" s="93"/>
      <c r="K249" s="93"/>
      <c r="L249" s="93"/>
    </row>
    <row r="250" spans="2:12" ht="16.5" customHeight="1">
      <c r="B250" s="93"/>
      <c r="C250" s="93"/>
      <c r="D250" s="93"/>
      <c r="E250" s="93"/>
      <c r="F250" s="93"/>
      <c r="G250" s="93"/>
      <c r="H250" s="93"/>
      <c r="I250" s="93"/>
      <c r="J250" s="93"/>
      <c r="K250" s="93"/>
      <c r="L250" s="93"/>
    </row>
    <row r="251" spans="2:12" ht="16.5" customHeight="1">
      <c r="B251" s="93"/>
      <c r="C251" s="93"/>
      <c r="D251" s="93"/>
      <c r="E251" s="93"/>
      <c r="F251" s="93"/>
      <c r="G251" s="93"/>
      <c r="H251" s="93"/>
      <c r="I251" s="93"/>
      <c r="J251" s="93"/>
      <c r="K251" s="93"/>
      <c r="L251" s="93"/>
    </row>
    <row r="252" spans="2:12" ht="16.5" customHeight="1">
      <c r="B252" s="93"/>
      <c r="C252" s="93"/>
      <c r="D252" s="93"/>
      <c r="E252" s="93"/>
      <c r="F252" s="93"/>
      <c r="G252" s="93"/>
      <c r="H252" s="93"/>
      <c r="I252" s="93"/>
      <c r="J252" s="93"/>
      <c r="K252" s="93"/>
      <c r="L252" s="93"/>
    </row>
    <row r="253" spans="2:12" ht="16.5" customHeight="1">
      <c r="B253" s="93"/>
      <c r="C253" s="93"/>
      <c r="D253" s="93"/>
      <c r="E253" s="93"/>
      <c r="F253" s="93"/>
      <c r="G253" s="93"/>
      <c r="H253" s="93"/>
      <c r="I253" s="93"/>
      <c r="J253" s="93"/>
      <c r="K253" s="93"/>
      <c r="L253" s="93"/>
    </row>
    <row r="254" spans="2:12" ht="16.5" customHeight="1">
      <c r="B254" s="93"/>
      <c r="C254" s="93"/>
      <c r="D254" s="93"/>
      <c r="E254" s="93"/>
      <c r="F254" s="93"/>
      <c r="G254" s="93"/>
      <c r="H254" s="93"/>
      <c r="I254" s="93"/>
      <c r="J254" s="93"/>
      <c r="K254" s="93"/>
      <c r="L254" s="93"/>
    </row>
    <row r="255" spans="2:12" ht="16.5" customHeight="1">
      <c r="B255" s="93"/>
      <c r="C255" s="93"/>
      <c r="D255" s="93"/>
      <c r="E255" s="93"/>
      <c r="F255" s="93"/>
      <c r="G255" s="93"/>
      <c r="H255" s="93"/>
      <c r="I255" s="93"/>
      <c r="J255" s="93"/>
      <c r="K255" s="93"/>
      <c r="L255" s="93"/>
    </row>
    <row r="256" spans="2:12" ht="16.5" customHeight="1">
      <c r="B256" s="93"/>
      <c r="C256" s="93"/>
      <c r="D256" s="93"/>
      <c r="E256" s="93"/>
      <c r="F256" s="93"/>
      <c r="G256" s="93"/>
      <c r="H256" s="93"/>
      <c r="I256" s="93"/>
      <c r="J256" s="93"/>
      <c r="K256" s="93"/>
      <c r="L256" s="93"/>
    </row>
    <row r="257" spans="2:12" ht="16.5" customHeight="1">
      <c r="B257" s="93"/>
      <c r="C257" s="93"/>
      <c r="D257" s="93"/>
      <c r="E257" s="93"/>
      <c r="F257" s="93"/>
      <c r="G257" s="93"/>
      <c r="H257" s="93"/>
      <c r="I257" s="93"/>
      <c r="J257" s="93"/>
      <c r="K257" s="93"/>
      <c r="L257" s="93"/>
    </row>
    <row r="258" spans="2:12" ht="16.5" customHeight="1">
      <c r="B258" s="93"/>
      <c r="C258" s="93"/>
      <c r="D258" s="93"/>
      <c r="E258" s="93"/>
      <c r="F258" s="93"/>
      <c r="G258" s="93"/>
      <c r="H258" s="93"/>
      <c r="I258" s="93"/>
      <c r="J258" s="93"/>
      <c r="K258" s="93"/>
      <c r="L258" s="93"/>
    </row>
    <row r="259" spans="2:12" ht="16.5" customHeight="1">
      <c r="B259" s="93"/>
      <c r="C259" s="93"/>
      <c r="D259" s="93"/>
      <c r="E259" s="93"/>
      <c r="F259" s="93"/>
      <c r="G259" s="93"/>
      <c r="H259" s="93"/>
      <c r="I259" s="93"/>
      <c r="J259" s="93"/>
      <c r="K259" s="93"/>
      <c r="L259" s="93"/>
    </row>
    <row r="260" spans="2:12" ht="16.5" customHeight="1">
      <c r="B260" s="93"/>
      <c r="C260" s="93"/>
      <c r="D260" s="93"/>
      <c r="E260" s="93"/>
      <c r="F260" s="93"/>
      <c r="G260" s="93"/>
      <c r="H260" s="93"/>
      <c r="I260" s="93"/>
      <c r="J260" s="93"/>
      <c r="K260" s="93"/>
      <c r="L260" s="93"/>
    </row>
    <row r="261" spans="2:12" ht="16.5" customHeight="1">
      <c r="B261" s="93"/>
      <c r="C261" s="93"/>
      <c r="D261" s="93"/>
      <c r="E261" s="93"/>
      <c r="F261" s="93"/>
      <c r="G261" s="93"/>
      <c r="H261" s="93"/>
      <c r="I261" s="93"/>
      <c r="J261" s="93"/>
      <c r="K261" s="93"/>
      <c r="L261" s="93"/>
    </row>
    <row r="262" spans="2:12" ht="16.5" customHeight="1">
      <c r="B262" s="93"/>
      <c r="C262" s="93"/>
      <c r="D262" s="93"/>
      <c r="E262" s="93"/>
      <c r="F262" s="93"/>
      <c r="G262" s="93"/>
      <c r="H262" s="93"/>
      <c r="I262" s="93"/>
      <c r="J262" s="93"/>
      <c r="K262" s="93"/>
      <c r="L262" s="93"/>
    </row>
    <row r="263" spans="2:12" ht="16.5" customHeight="1">
      <c r="B263" s="93"/>
      <c r="C263" s="93"/>
      <c r="D263" s="93"/>
      <c r="E263" s="93"/>
      <c r="F263" s="93"/>
      <c r="G263" s="93"/>
      <c r="H263" s="93"/>
      <c r="I263" s="93"/>
      <c r="J263" s="93"/>
      <c r="K263" s="93"/>
      <c r="L263" s="93"/>
    </row>
    <row r="264" spans="2:12" ht="16.5" customHeight="1">
      <c r="B264" s="93"/>
      <c r="C264" s="93"/>
      <c r="D264" s="93"/>
      <c r="E264" s="93"/>
      <c r="F264" s="93"/>
      <c r="G264" s="93"/>
      <c r="H264" s="93"/>
      <c r="I264" s="93"/>
      <c r="J264" s="93"/>
      <c r="K264" s="93"/>
      <c r="L264" s="93"/>
    </row>
    <row r="265" spans="2:12" ht="16.5" customHeight="1">
      <c r="B265" s="93"/>
      <c r="C265" s="93"/>
      <c r="D265" s="93"/>
      <c r="E265" s="93"/>
      <c r="F265" s="93"/>
      <c r="G265" s="93"/>
      <c r="H265" s="93"/>
      <c r="I265" s="93"/>
      <c r="J265" s="93"/>
      <c r="K265" s="93"/>
      <c r="L265" s="93"/>
    </row>
    <row r="266" spans="2:12" ht="16.5" customHeight="1">
      <c r="B266" s="93"/>
      <c r="C266" s="93"/>
      <c r="D266" s="93"/>
      <c r="E266" s="93"/>
      <c r="F266" s="93"/>
      <c r="G266" s="93"/>
      <c r="H266" s="93"/>
      <c r="I266" s="93"/>
      <c r="J266" s="93"/>
      <c r="K266" s="93"/>
      <c r="L266" s="93"/>
    </row>
    <row r="267" spans="2:12" ht="16.5" customHeight="1">
      <c r="B267" s="93"/>
      <c r="C267" s="93"/>
      <c r="D267" s="93"/>
      <c r="E267" s="93"/>
      <c r="F267" s="93"/>
      <c r="G267" s="93"/>
      <c r="H267" s="93"/>
      <c r="I267" s="93"/>
      <c r="J267" s="93"/>
      <c r="K267" s="93"/>
      <c r="L267" s="93"/>
    </row>
    <row r="268" spans="2:12" ht="16.5" customHeight="1">
      <c r="B268" s="93"/>
      <c r="C268" s="93"/>
      <c r="D268" s="93"/>
      <c r="E268" s="93"/>
      <c r="F268" s="93"/>
      <c r="G268" s="93"/>
      <c r="H268" s="93"/>
      <c r="I268" s="93"/>
      <c r="J268" s="93"/>
      <c r="K268" s="93"/>
      <c r="L268" s="93"/>
    </row>
    <row r="269" spans="2:12" ht="16.5" customHeight="1">
      <c r="B269" s="93"/>
      <c r="C269" s="93"/>
      <c r="D269" s="93"/>
      <c r="E269" s="93"/>
      <c r="F269" s="93"/>
      <c r="G269" s="93"/>
      <c r="H269" s="93"/>
      <c r="I269" s="93"/>
      <c r="J269" s="93"/>
      <c r="K269" s="93"/>
      <c r="L269" s="93"/>
    </row>
    <row r="270" spans="2:12" ht="16.5" customHeight="1">
      <c r="B270" s="93"/>
      <c r="C270" s="93"/>
      <c r="D270" s="93"/>
      <c r="E270" s="93"/>
      <c r="F270" s="93"/>
      <c r="G270" s="93"/>
      <c r="H270" s="93"/>
      <c r="I270" s="93"/>
      <c r="J270" s="93"/>
      <c r="K270" s="93"/>
      <c r="L270" s="93"/>
    </row>
    <row r="271" spans="2:12" ht="16.5" customHeight="1">
      <c r="B271" s="93"/>
      <c r="C271" s="93"/>
      <c r="D271" s="93"/>
      <c r="E271" s="93"/>
      <c r="F271" s="93"/>
      <c r="G271" s="93"/>
      <c r="H271" s="93"/>
      <c r="I271" s="93"/>
      <c r="J271" s="93"/>
      <c r="K271" s="93"/>
      <c r="L271" s="93"/>
    </row>
    <row r="272" spans="2:12" ht="16.5" customHeight="1">
      <c r="B272" s="93"/>
      <c r="C272" s="93"/>
      <c r="D272" s="93"/>
      <c r="E272" s="93"/>
      <c r="F272" s="93"/>
      <c r="G272" s="93"/>
      <c r="H272" s="93"/>
      <c r="I272" s="93"/>
      <c r="J272" s="93"/>
      <c r="K272" s="93"/>
      <c r="L272" s="93"/>
    </row>
    <row r="273" spans="2:12" ht="16.5" customHeight="1">
      <c r="B273" s="93"/>
      <c r="C273" s="93"/>
      <c r="D273" s="93"/>
      <c r="E273" s="93"/>
      <c r="F273" s="93"/>
      <c r="G273" s="93"/>
      <c r="H273" s="93"/>
      <c r="I273" s="93"/>
      <c r="J273" s="93"/>
      <c r="K273" s="93"/>
      <c r="L273" s="93"/>
    </row>
    <row r="274" spans="2:12" ht="16.5" customHeight="1">
      <c r="B274" s="93"/>
      <c r="C274" s="93"/>
      <c r="D274" s="93"/>
      <c r="E274" s="93"/>
      <c r="F274" s="93"/>
      <c r="G274" s="93"/>
      <c r="H274" s="93"/>
      <c r="I274" s="93"/>
      <c r="J274" s="93"/>
      <c r="K274" s="93"/>
      <c r="L274" s="93"/>
    </row>
    <row r="275" spans="2:12" ht="16.5" customHeight="1">
      <c r="B275" s="93"/>
      <c r="C275" s="93"/>
      <c r="D275" s="93"/>
      <c r="E275" s="93"/>
      <c r="F275" s="93"/>
      <c r="G275" s="93"/>
      <c r="H275" s="93"/>
      <c r="I275" s="93"/>
      <c r="J275" s="93"/>
      <c r="K275" s="93"/>
      <c r="L275" s="93"/>
    </row>
    <row r="276" spans="2:12" ht="16.5" customHeight="1">
      <c r="B276" s="93"/>
      <c r="C276" s="93"/>
      <c r="D276" s="93"/>
      <c r="E276" s="93"/>
      <c r="F276" s="93"/>
      <c r="G276" s="93"/>
      <c r="H276" s="93"/>
      <c r="I276" s="93"/>
      <c r="J276" s="93"/>
      <c r="K276" s="93"/>
      <c r="L276" s="93"/>
    </row>
    <row r="277" spans="2:12" ht="16.5" customHeight="1">
      <c r="B277" s="93"/>
      <c r="C277" s="93"/>
      <c r="D277" s="93"/>
      <c r="E277" s="93"/>
      <c r="F277" s="93"/>
      <c r="G277" s="93"/>
      <c r="H277" s="93"/>
      <c r="I277" s="93"/>
      <c r="J277" s="93"/>
      <c r="K277" s="93"/>
      <c r="L277" s="93"/>
    </row>
    <row r="278" spans="2:12" ht="16.5" customHeight="1">
      <c r="B278" s="93"/>
      <c r="C278" s="93"/>
      <c r="D278" s="93"/>
      <c r="E278" s="93"/>
      <c r="F278" s="93"/>
      <c r="G278" s="93"/>
      <c r="H278" s="93"/>
      <c r="I278" s="93"/>
      <c r="J278" s="93"/>
      <c r="K278" s="93"/>
      <c r="L278" s="93"/>
    </row>
    <row r="279" spans="2:12" ht="16.5" customHeight="1">
      <c r="B279" s="93"/>
      <c r="C279" s="93"/>
      <c r="D279" s="93"/>
      <c r="E279" s="93"/>
      <c r="F279" s="93"/>
      <c r="G279" s="93"/>
      <c r="H279" s="93"/>
      <c r="I279" s="93"/>
      <c r="J279" s="93"/>
      <c r="K279" s="93"/>
      <c r="L279" s="93"/>
    </row>
    <row r="280" spans="2:12" ht="16.5" customHeight="1">
      <c r="B280" s="93"/>
      <c r="C280" s="93"/>
      <c r="D280" s="93"/>
      <c r="E280" s="93"/>
      <c r="F280" s="93"/>
      <c r="G280" s="93"/>
      <c r="H280" s="93"/>
      <c r="I280" s="93"/>
      <c r="J280" s="93"/>
      <c r="K280" s="93"/>
      <c r="L280" s="93"/>
    </row>
    <row r="281" spans="2:12" ht="16.5" customHeight="1">
      <c r="B281" s="93"/>
      <c r="C281" s="93"/>
      <c r="D281" s="93"/>
      <c r="E281" s="93"/>
      <c r="F281" s="93"/>
      <c r="G281" s="93"/>
      <c r="H281" s="93"/>
      <c r="I281" s="93"/>
      <c r="J281" s="93"/>
      <c r="K281" s="93"/>
      <c r="L281" s="93"/>
    </row>
    <row r="282" spans="2:12" ht="16.5" customHeight="1">
      <c r="B282" s="93"/>
      <c r="C282" s="93"/>
      <c r="D282" s="93"/>
      <c r="E282" s="93"/>
      <c r="F282" s="93"/>
      <c r="G282" s="93"/>
      <c r="H282" s="93"/>
      <c r="I282" s="93"/>
      <c r="J282" s="93"/>
      <c r="K282" s="93"/>
      <c r="L282" s="93"/>
    </row>
    <row r="283" spans="2:12" ht="16.5" customHeight="1">
      <c r="B283" s="93"/>
      <c r="C283" s="93"/>
      <c r="D283" s="93"/>
      <c r="E283" s="93"/>
      <c r="F283" s="93"/>
      <c r="G283" s="93"/>
      <c r="H283" s="93"/>
      <c r="I283" s="93"/>
      <c r="J283" s="93"/>
      <c r="K283" s="93"/>
      <c r="L283" s="93"/>
    </row>
    <row r="284" spans="2:12" ht="16.5" customHeight="1">
      <c r="B284" s="93"/>
      <c r="C284" s="93"/>
      <c r="D284" s="93"/>
      <c r="E284" s="93"/>
      <c r="F284" s="93"/>
      <c r="G284" s="93"/>
      <c r="H284" s="93"/>
      <c r="I284" s="93"/>
      <c r="J284" s="93"/>
      <c r="K284" s="93"/>
      <c r="L284" s="93"/>
    </row>
    <row r="285" spans="2:12" ht="16.5" customHeight="1">
      <c r="B285" s="93"/>
      <c r="C285" s="93"/>
      <c r="D285" s="93"/>
      <c r="E285" s="93"/>
      <c r="F285" s="93"/>
      <c r="G285" s="93"/>
      <c r="H285" s="93"/>
      <c r="I285" s="93"/>
      <c r="J285" s="93"/>
      <c r="K285" s="93"/>
      <c r="L285" s="93"/>
    </row>
    <row r="286" spans="2:12" ht="16.5" customHeight="1">
      <c r="B286" s="93"/>
      <c r="C286" s="93"/>
      <c r="D286" s="93"/>
      <c r="E286" s="93"/>
      <c r="F286" s="93"/>
      <c r="G286" s="93"/>
      <c r="H286" s="93"/>
      <c r="I286" s="93"/>
      <c r="J286" s="93"/>
      <c r="K286" s="93"/>
      <c r="L286" s="93"/>
    </row>
    <row r="287" spans="2:12" ht="16.5" customHeight="1">
      <c r="B287" s="93"/>
      <c r="C287" s="93"/>
      <c r="D287" s="93"/>
      <c r="E287" s="93"/>
      <c r="F287" s="93"/>
      <c r="G287" s="93"/>
      <c r="H287" s="93"/>
      <c r="I287" s="93"/>
      <c r="J287" s="93"/>
      <c r="K287" s="93"/>
      <c r="L287" s="93"/>
    </row>
    <row r="288" spans="2:12" ht="16.5" customHeight="1">
      <c r="B288" s="93"/>
      <c r="C288" s="93"/>
      <c r="D288" s="93"/>
      <c r="E288" s="93"/>
      <c r="F288" s="93"/>
      <c r="G288" s="93"/>
      <c r="H288" s="93"/>
      <c r="I288" s="93"/>
      <c r="J288" s="93"/>
      <c r="K288" s="93"/>
      <c r="L288" s="93"/>
    </row>
    <row r="289" spans="1:13" ht="16.5" customHeight="1">
      <c r="B289" s="93"/>
      <c r="C289" s="93"/>
      <c r="D289" s="93"/>
      <c r="E289" s="93"/>
      <c r="F289" s="93"/>
      <c r="G289" s="93"/>
      <c r="H289" s="93"/>
      <c r="I289" s="93"/>
      <c r="J289" s="93"/>
      <c r="K289" s="93"/>
      <c r="L289" s="93"/>
    </row>
    <row r="290" spans="1:13" ht="16.5" customHeight="1">
      <c r="B290" s="93"/>
      <c r="C290" s="93"/>
      <c r="D290" s="93"/>
      <c r="E290" s="93"/>
      <c r="F290" s="93"/>
      <c r="G290" s="93"/>
      <c r="H290" s="93"/>
      <c r="I290" s="93"/>
      <c r="J290" s="93"/>
      <c r="K290" s="93"/>
      <c r="L290" s="93"/>
    </row>
    <row r="291" spans="1:13" ht="16.5" customHeight="1">
      <c r="B291" s="93"/>
      <c r="C291" s="93"/>
      <c r="D291" s="93"/>
      <c r="E291" s="93"/>
      <c r="F291" s="93"/>
      <c r="G291" s="93"/>
      <c r="H291" s="93"/>
      <c r="I291" s="93"/>
      <c r="J291" s="93"/>
      <c r="K291" s="93"/>
      <c r="L291" s="93"/>
    </row>
    <row r="292" spans="1:13" ht="16.5" customHeight="1">
      <c r="B292" s="93"/>
      <c r="C292" s="93"/>
      <c r="D292" s="93"/>
      <c r="E292" s="93"/>
      <c r="F292" s="93"/>
      <c r="G292" s="93"/>
      <c r="H292" s="93"/>
      <c r="I292" s="93"/>
      <c r="J292" s="93"/>
      <c r="K292" s="93"/>
      <c r="L292" s="93"/>
    </row>
    <row r="293" spans="1:13" ht="16.5" customHeight="1">
      <c r="B293" s="93"/>
      <c r="C293" s="93"/>
      <c r="D293" s="93"/>
      <c r="E293" s="93"/>
      <c r="F293" s="93"/>
      <c r="G293" s="93"/>
      <c r="H293" s="93"/>
      <c r="I293" s="93"/>
      <c r="J293" s="93"/>
      <c r="K293" s="93"/>
      <c r="L293" s="93"/>
    </row>
    <row r="294" spans="1:13" ht="16.5" customHeight="1">
      <c r="B294" s="93"/>
      <c r="C294" s="93"/>
      <c r="D294" s="93"/>
      <c r="E294" s="93"/>
      <c r="F294" s="93"/>
      <c r="G294" s="93"/>
      <c r="H294" s="93"/>
      <c r="I294" s="93"/>
      <c r="J294" s="93"/>
      <c r="K294" s="93"/>
      <c r="L294" s="93"/>
    </row>
    <row r="295" spans="1:13" ht="16.5" customHeight="1">
      <c r="B295" s="93"/>
      <c r="C295" s="93"/>
      <c r="D295" s="93"/>
      <c r="E295" s="93"/>
      <c r="F295" s="93"/>
      <c r="G295" s="93"/>
      <c r="H295" s="93"/>
      <c r="I295" s="93"/>
      <c r="J295" s="93"/>
      <c r="K295" s="93"/>
      <c r="L295" s="93"/>
    </row>
    <row r="296" spans="1:13" ht="16.5" customHeight="1">
      <c r="B296" s="93"/>
      <c r="C296" s="93"/>
      <c r="D296" s="93"/>
      <c r="E296" s="93"/>
      <c r="F296" s="93"/>
      <c r="G296" s="93"/>
      <c r="H296" s="93"/>
      <c r="I296" s="93"/>
      <c r="J296" s="93"/>
      <c r="K296" s="93"/>
      <c r="L296" s="93"/>
    </row>
    <row r="297" spans="1:13" ht="16.5" customHeight="1">
      <c r="B297" s="93"/>
      <c r="C297" s="93"/>
      <c r="D297" s="93"/>
      <c r="E297" s="93"/>
      <c r="F297" s="93"/>
      <c r="G297" s="93"/>
      <c r="H297" s="93"/>
      <c r="I297" s="93"/>
      <c r="J297" s="93"/>
      <c r="K297" s="93"/>
      <c r="L297" s="93"/>
    </row>
    <row r="298" spans="1:13" ht="16.5" customHeight="1">
      <c r="B298" s="93"/>
      <c r="C298" s="93"/>
      <c r="D298" s="93"/>
      <c r="E298" s="93"/>
      <c r="F298" s="93"/>
      <c r="G298" s="93"/>
      <c r="H298" s="93"/>
      <c r="I298" s="93"/>
      <c r="J298" s="93"/>
      <c r="K298" s="93"/>
      <c r="L298" s="93"/>
    </row>
    <row r="299" spans="1:13" ht="16.5" customHeight="1">
      <c r="B299" s="93"/>
      <c r="C299" s="93"/>
      <c r="D299" s="93"/>
      <c r="E299" s="93"/>
      <c r="F299" s="93"/>
      <c r="G299" s="93"/>
      <c r="H299" s="93"/>
      <c r="I299" s="93"/>
      <c r="J299" s="93"/>
      <c r="K299" s="93"/>
      <c r="L299" s="93"/>
    </row>
    <row r="300" spans="1:13" s="88" customFormat="1" ht="26.25" customHeight="1">
      <c r="A300" s="498" t="s">
        <v>159</v>
      </c>
      <c r="B300" s="498"/>
      <c r="C300" s="499"/>
      <c r="D300" s="87"/>
      <c r="E300" s="500" t="str">
        <f>HYPERLINK("#目录!A92","跳转回到目录页")</f>
        <v>跳转回到目录页</v>
      </c>
      <c r="F300" s="501"/>
    </row>
    <row r="301" spans="1:13" s="88" customFormat="1" ht="26.25" customHeight="1">
      <c r="A301" s="502" t="s">
        <v>1216</v>
      </c>
      <c r="B301" s="502"/>
      <c r="C301" s="503" t="s">
        <v>160</v>
      </c>
      <c r="D301" s="503"/>
      <c r="E301" s="503"/>
      <c r="F301" s="503"/>
      <c r="G301" s="503"/>
      <c r="H301" s="503"/>
      <c r="I301" s="503"/>
      <c r="J301" s="503"/>
      <c r="K301" s="503"/>
      <c r="L301" s="503"/>
      <c r="M301" s="503"/>
    </row>
    <row r="302" spans="1:13" s="88" customFormat="1" ht="16.5" customHeight="1">
      <c r="A302" s="496" t="s">
        <v>1217</v>
      </c>
      <c r="B302" s="496"/>
      <c r="C302" s="493" t="s">
        <v>2363</v>
      </c>
      <c r="D302" s="493"/>
      <c r="E302" s="493"/>
      <c r="F302" s="493"/>
      <c r="G302" s="493"/>
      <c r="H302" s="493"/>
      <c r="I302" s="493"/>
      <c r="J302" s="493"/>
      <c r="K302" s="493"/>
      <c r="L302" s="493"/>
      <c r="M302" s="493"/>
    </row>
    <row r="303" spans="1:13" s="88" customFormat="1" ht="16.5" customHeight="1">
      <c r="A303" s="496" t="s">
        <v>5786</v>
      </c>
      <c r="B303" s="496"/>
      <c r="C303" s="497" t="s">
        <v>2363</v>
      </c>
      <c r="D303" s="497"/>
      <c r="E303" s="497"/>
      <c r="F303" s="497"/>
      <c r="G303" s="497"/>
      <c r="H303" s="497"/>
      <c r="I303" s="497"/>
      <c r="J303" s="497"/>
      <c r="K303" s="497"/>
      <c r="L303" s="497"/>
      <c r="M303" s="497"/>
    </row>
    <row r="304" spans="1:13" s="88" customFormat="1" ht="16.5" customHeight="1">
      <c r="A304" s="496" t="s">
        <v>1220</v>
      </c>
      <c r="B304" s="496"/>
      <c r="C304" s="493" t="s">
        <v>2364</v>
      </c>
      <c r="D304" s="493"/>
      <c r="E304" s="493"/>
      <c r="F304" s="493"/>
      <c r="G304" s="493"/>
      <c r="H304" s="493"/>
      <c r="I304" s="493"/>
      <c r="J304" s="493"/>
      <c r="K304" s="493"/>
      <c r="L304" s="493"/>
      <c r="M304" s="493"/>
    </row>
    <row r="305" spans="1:13" s="88" customFormat="1" ht="16.5" customHeight="1">
      <c r="A305" s="496" t="s">
        <v>5785</v>
      </c>
      <c r="B305" s="496"/>
      <c r="C305" s="493" t="s">
        <v>2365</v>
      </c>
      <c r="D305" s="493"/>
      <c r="E305" s="493"/>
      <c r="F305" s="493"/>
      <c r="G305" s="493"/>
      <c r="H305" s="493"/>
      <c r="I305" s="493"/>
      <c r="J305" s="493"/>
      <c r="K305" s="493"/>
      <c r="L305" s="493"/>
      <c r="M305" s="493"/>
    </row>
    <row r="306" spans="1:13" s="88" customFormat="1" ht="16.5" customHeight="1">
      <c r="A306" s="89" t="s">
        <v>1223</v>
      </c>
      <c r="B306" s="92" t="s">
        <v>2200</v>
      </c>
      <c r="C306" s="493" t="s">
        <v>2366</v>
      </c>
      <c r="D306" s="493"/>
      <c r="E306" s="493"/>
      <c r="F306" s="493"/>
      <c r="G306" s="493"/>
      <c r="H306" s="493"/>
      <c r="I306" s="493"/>
      <c r="J306" s="493"/>
      <c r="K306" s="493"/>
      <c r="L306" s="493"/>
      <c r="M306" s="493"/>
    </row>
    <row r="307" spans="1:13" s="88" customFormat="1" ht="24.75" customHeight="1">
      <c r="A307" s="89"/>
      <c r="B307" s="92" t="s">
        <v>2367</v>
      </c>
      <c r="C307" s="493" t="s">
        <v>2368</v>
      </c>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51" customHeight="1">
      <c r="A310" s="89" t="s">
        <v>1229</v>
      </c>
      <c r="B310" s="493" t="s">
        <v>2369</v>
      </c>
      <c r="C310" s="493"/>
      <c r="D310" s="493"/>
      <c r="E310" s="493"/>
      <c r="F310" s="493"/>
      <c r="G310" s="493"/>
      <c r="H310" s="493"/>
      <c r="I310" s="493"/>
      <c r="J310" s="493"/>
      <c r="K310" s="493"/>
      <c r="L310" s="493"/>
      <c r="M310" s="493"/>
    </row>
    <row r="311" spans="1:13" ht="21" customHeight="1">
      <c r="B311" s="494" t="s">
        <v>1231</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c r="G313" s="4"/>
    </row>
    <row r="314" spans="1:13" ht="16.5" customHeight="1"/>
    <row r="315" spans="1:13" ht="16.5" customHeight="1">
      <c r="B315" s="565" t="s">
        <v>2357</v>
      </c>
      <c r="C315" s="565"/>
      <c r="D315" s="565"/>
      <c r="E315" s="565"/>
      <c r="F315" s="565"/>
      <c r="G315" s="565"/>
      <c r="H315" s="565"/>
      <c r="I315" s="565"/>
      <c r="J315" s="565"/>
      <c r="K315" s="565"/>
      <c r="L315" s="93"/>
    </row>
    <row r="316" spans="1:13" ht="16.5" customHeight="1">
      <c r="B316" s="137" t="s">
        <v>2358</v>
      </c>
      <c r="C316" s="188">
        <v>10</v>
      </c>
      <c r="D316" s="188">
        <v>11</v>
      </c>
      <c r="E316" s="188">
        <v>12</v>
      </c>
      <c r="F316" s="188">
        <v>13</v>
      </c>
      <c r="G316" s="188">
        <v>14</v>
      </c>
      <c r="H316" s="188">
        <v>15</v>
      </c>
      <c r="I316" s="188">
        <v>16</v>
      </c>
      <c r="J316" s="188">
        <v>17</v>
      </c>
      <c r="K316" s="138">
        <v>18</v>
      </c>
      <c r="L316" s="104" t="s">
        <v>1238</v>
      </c>
    </row>
    <row r="317" spans="1:13" ht="16.5" customHeight="1">
      <c r="B317" s="111" t="s">
        <v>2359</v>
      </c>
      <c r="C317" s="110">
        <f>COMBIN(C316,2)</f>
        <v>45</v>
      </c>
      <c r="D317" s="110">
        <f t="shared" ref="D317:K317" si="2">COMBIN(D316,2)</f>
        <v>55</v>
      </c>
      <c r="E317" s="110">
        <f t="shared" si="2"/>
        <v>66</v>
      </c>
      <c r="F317" s="110">
        <f t="shared" si="2"/>
        <v>78</v>
      </c>
      <c r="G317" s="110">
        <f t="shared" si="2"/>
        <v>91</v>
      </c>
      <c r="H317" s="110">
        <f t="shared" si="2"/>
        <v>105</v>
      </c>
      <c r="I317" s="110">
        <f t="shared" si="2"/>
        <v>120</v>
      </c>
      <c r="J317" s="110">
        <f t="shared" si="2"/>
        <v>136</v>
      </c>
      <c r="K317" s="101">
        <f t="shared" si="2"/>
        <v>153</v>
      </c>
      <c r="L317" s="108" t="s">
        <v>2370</v>
      </c>
    </row>
    <row r="318" spans="1:13" ht="16.5" customHeight="1">
      <c r="B318" s="105"/>
      <c r="C318" s="295"/>
      <c r="D318" s="295"/>
      <c r="E318" s="295"/>
      <c r="F318" s="295"/>
      <c r="G318" s="295"/>
      <c r="H318" s="295"/>
      <c r="I318" s="295"/>
      <c r="J318" s="295"/>
      <c r="K318" s="296"/>
      <c r="L318" s="93"/>
    </row>
    <row r="323" spans="7:7">
      <c r="G323" s="18"/>
    </row>
    <row r="324" spans="7:7">
      <c r="G324" s="189"/>
    </row>
    <row r="325" spans="7:7">
      <c r="G325" s="189"/>
    </row>
    <row r="326" spans="7:7">
      <c r="G326" s="189"/>
    </row>
    <row r="327" spans="7:7">
      <c r="G327" s="189"/>
    </row>
    <row r="328" spans="7:7">
      <c r="G328" s="189"/>
    </row>
    <row r="329" spans="7:7">
      <c r="G329" s="189"/>
    </row>
    <row r="330" spans="7:7">
      <c r="G330" s="189"/>
    </row>
    <row r="331" spans="7:7">
      <c r="G331" s="189"/>
    </row>
    <row r="400" spans="1:6" s="88" customFormat="1" ht="26.25" customHeight="1">
      <c r="A400" s="498" t="s">
        <v>161</v>
      </c>
      <c r="B400" s="498"/>
      <c r="C400" s="499"/>
      <c r="D400" s="87"/>
      <c r="E400" s="500" t="str">
        <f>HYPERLINK("#目录!A93","跳转回到目录页")</f>
        <v>跳转回到目录页</v>
      </c>
      <c r="F400" s="501"/>
    </row>
    <row r="401" spans="1:13" s="88" customFormat="1" ht="26.25" customHeight="1">
      <c r="A401" s="502" t="s">
        <v>1216</v>
      </c>
      <c r="B401" s="502"/>
      <c r="C401" s="503" t="s">
        <v>162</v>
      </c>
      <c r="D401" s="503"/>
      <c r="E401" s="503"/>
      <c r="F401" s="503"/>
      <c r="G401" s="503"/>
      <c r="H401" s="503"/>
      <c r="I401" s="503"/>
      <c r="J401" s="503"/>
      <c r="K401" s="503"/>
      <c r="L401" s="503"/>
      <c r="M401" s="503"/>
    </row>
    <row r="402" spans="1:13" s="88" customFormat="1" ht="16.5" customHeight="1">
      <c r="A402" s="496" t="s">
        <v>1217</v>
      </c>
      <c r="B402" s="496"/>
      <c r="C402" s="493" t="s">
        <v>2371</v>
      </c>
      <c r="D402" s="493"/>
      <c r="E402" s="493"/>
      <c r="F402" s="493"/>
      <c r="G402" s="493"/>
      <c r="H402" s="493"/>
      <c r="I402" s="493"/>
      <c r="J402" s="493"/>
      <c r="K402" s="493"/>
      <c r="L402" s="493"/>
      <c r="M402" s="493"/>
    </row>
    <row r="403" spans="1:13" s="88" customFormat="1" ht="16.5" customHeight="1">
      <c r="A403" s="496" t="s">
        <v>5786</v>
      </c>
      <c r="B403" s="496"/>
      <c r="C403" s="497" t="s">
        <v>2371</v>
      </c>
      <c r="D403" s="497"/>
      <c r="E403" s="497"/>
      <c r="F403" s="497"/>
      <c r="G403" s="497"/>
      <c r="H403" s="497"/>
      <c r="I403" s="497"/>
      <c r="J403" s="497"/>
      <c r="K403" s="497"/>
      <c r="L403" s="497"/>
      <c r="M403" s="497"/>
    </row>
    <row r="404" spans="1:13" s="88" customFormat="1" ht="16.5" customHeight="1">
      <c r="A404" s="496" t="s">
        <v>1220</v>
      </c>
      <c r="B404" s="496"/>
      <c r="C404" s="493" t="s">
        <v>2372</v>
      </c>
      <c r="D404" s="493"/>
      <c r="E404" s="493"/>
      <c r="F404" s="493"/>
      <c r="G404" s="493"/>
      <c r="H404" s="493"/>
      <c r="I404" s="493"/>
      <c r="J404" s="493"/>
      <c r="K404" s="493"/>
      <c r="L404" s="493"/>
      <c r="M404" s="493"/>
    </row>
    <row r="405" spans="1:13" s="88" customFormat="1" ht="16.5" customHeight="1">
      <c r="A405" s="496" t="s">
        <v>5785</v>
      </c>
      <c r="B405" s="496"/>
      <c r="C405" s="493" t="s">
        <v>2373</v>
      </c>
      <c r="D405" s="493"/>
      <c r="E405" s="493"/>
      <c r="F405" s="493"/>
      <c r="G405" s="493"/>
      <c r="H405" s="493"/>
      <c r="I405" s="493"/>
      <c r="J405" s="493"/>
      <c r="K405" s="493"/>
      <c r="L405" s="493"/>
      <c r="M405" s="493"/>
    </row>
    <row r="406" spans="1:13" s="88" customFormat="1" ht="16.5" customHeight="1">
      <c r="A406" s="89" t="s">
        <v>1223</v>
      </c>
      <c r="B406" s="92" t="s">
        <v>1576</v>
      </c>
      <c r="C406" s="493" t="s">
        <v>2374</v>
      </c>
      <c r="D406" s="493"/>
      <c r="E406" s="493"/>
      <c r="F406" s="493"/>
      <c r="G406" s="493"/>
      <c r="H406" s="493"/>
      <c r="I406" s="493"/>
      <c r="J406" s="493"/>
      <c r="K406" s="493"/>
      <c r="L406" s="493"/>
      <c r="M406" s="493"/>
    </row>
    <row r="407" spans="1:13" s="88" customFormat="1" ht="16.5" customHeight="1">
      <c r="A407" s="89"/>
      <c r="B407" s="92"/>
      <c r="C407" s="493"/>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53.25" customHeight="1">
      <c r="A410" s="89" t="s">
        <v>1229</v>
      </c>
      <c r="B410" s="493" t="s">
        <v>2375</v>
      </c>
      <c r="C410" s="493"/>
      <c r="D410" s="493"/>
      <c r="E410" s="493"/>
      <c r="F410" s="493"/>
      <c r="G410" s="493"/>
      <c r="H410" s="493"/>
      <c r="I410" s="493"/>
      <c r="J410" s="493"/>
      <c r="K410" s="493"/>
      <c r="L410" s="493"/>
      <c r="M410" s="493"/>
    </row>
    <row r="411" spans="1:13" ht="21" customHeight="1">
      <c r="B411" s="494" t="s">
        <v>1231</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5" spans="1:13" s="93" customFormat="1" ht="27.75" customHeight="1">
      <c r="B415" s="509" t="s">
        <v>5942</v>
      </c>
      <c r="C415" s="509"/>
      <c r="D415" s="509"/>
      <c r="E415" s="509"/>
      <c r="F415" s="509"/>
      <c r="G415" s="509"/>
      <c r="H415" s="509"/>
      <c r="I415" s="509"/>
      <c r="J415" s="509"/>
      <c r="K415" s="509"/>
      <c r="L415" s="509"/>
    </row>
    <row r="416" spans="1:13" s="93" customFormat="1" ht="16.5" customHeight="1"/>
    <row r="417" spans="2:8" s="93" customFormat="1" ht="16.5" customHeight="1">
      <c r="B417" s="95" t="s">
        <v>2376</v>
      </c>
      <c r="C417" s="96" t="s">
        <v>2377</v>
      </c>
      <c r="D417" s="96" t="s">
        <v>2378</v>
      </c>
      <c r="E417" s="138" t="s">
        <v>1431</v>
      </c>
      <c r="F417" s="104" t="s">
        <v>1238</v>
      </c>
    </row>
    <row r="418" spans="2:8" s="93" customFormat="1" ht="16.5" customHeight="1">
      <c r="B418" s="99">
        <v>3</v>
      </c>
      <c r="C418" s="110">
        <v>0</v>
      </c>
      <c r="D418" s="110">
        <v>0</v>
      </c>
      <c r="E418" s="101">
        <f t="shared" ref="E418:E427" si="3">MULTINOMIAL(B418,C418,D418)</f>
        <v>1</v>
      </c>
      <c r="F418" s="108" t="s">
        <v>2379</v>
      </c>
      <c r="H418" s="218"/>
    </row>
    <row r="419" spans="2:8" s="93" customFormat="1" ht="16.5" customHeight="1">
      <c r="B419" s="99">
        <v>0</v>
      </c>
      <c r="C419" s="110">
        <v>3</v>
      </c>
      <c r="D419" s="110">
        <v>0</v>
      </c>
      <c r="E419" s="101">
        <f t="shared" si="3"/>
        <v>1</v>
      </c>
      <c r="H419" s="161"/>
    </row>
    <row r="420" spans="2:8" s="93" customFormat="1" ht="16.5" customHeight="1">
      <c r="B420" s="99">
        <v>0</v>
      </c>
      <c r="C420" s="110">
        <v>0</v>
      </c>
      <c r="D420" s="110">
        <v>3</v>
      </c>
      <c r="E420" s="101">
        <f t="shared" si="3"/>
        <v>1</v>
      </c>
      <c r="H420" s="161"/>
    </row>
    <row r="421" spans="2:8" s="93" customFormat="1" ht="16.5" customHeight="1">
      <c r="B421" s="99">
        <v>2</v>
      </c>
      <c r="C421" s="110">
        <v>1</v>
      </c>
      <c r="D421" s="110">
        <v>0</v>
      </c>
      <c r="E421" s="101">
        <f t="shared" si="3"/>
        <v>3.0000000000000004</v>
      </c>
      <c r="H421" s="161"/>
    </row>
    <row r="422" spans="2:8" s="93" customFormat="1" ht="16.5" customHeight="1">
      <c r="B422" s="99">
        <v>2</v>
      </c>
      <c r="C422" s="110">
        <v>0</v>
      </c>
      <c r="D422" s="110">
        <v>1</v>
      </c>
      <c r="E422" s="101">
        <f t="shared" si="3"/>
        <v>3.0000000000000004</v>
      </c>
      <c r="H422" s="161"/>
    </row>
    <row r="423" spans="2:8" ht="16.5" customHeight="1">
      <c r="B423" s="99">
        <v>1</v>
      </c>
      <c r="C423" s="110">
        <v>2</v>
      </c>
      <c r="D423" s="110">
        <v>0</v>
      </c>
      <c r="E423" s="101">
        <f t="shared" si="3"/>
        <v>3.0000000000000004</v>
      </c>
    </row>
    <row r="424" spans="2:8">
      <c r="B424" s="99">
        <v>0</v>
      </c>
      <c r="C424" s="110">
        <v>2</v>
      </c>
      <c r="D424" s="110">
        <v>1</v>
      </c>
      <c r="E424" s="101">
        <f t="shared" si="3"/>
        <v>3.0000000000000004</v>
      </c>
      <c r="H424" s="18"/>
    </row>
    <row r="425" spans="2:8">
      <c r="B425" s="99">
        <v>1</v>
      </c>
      <c r="C425" s="110">
        <v>0</v>
      </c>
      <c r="D425" s="110">
        <v>2</v>
      </c>
      <c r="E425" s="101">
        <f t="shared" si="3"/>
        <v>3.0000000000000004</v>
      </c>
    </row>
    <row r="426" spans="2:8">
      <c r="B426" s="99">
        <v>0</v>
      </c>
      <c r="C426" s="110">
        <v>1</v>
      </c>
      <c r="D426" s="110">
        <v>2</v>
      </c>
      <c r="E426" s="101">
        <f t="shared" si="3"/>
        <v>3.0000000000000004</v>
      </c>
      <c r="H426" s="18"/>
    </row>
    <row r="427" spans="2:8">
      <c r="B427" s="105">
        <v>1</v>
      </c>
      <c r="C427" s="113">
        <v>1</v>
      </c>
      <c r="D427" s="113">
        <v>1</v>
      </c>
      <c r="E427" s="107">
        <f t="shared" si="3"/>
        <v>6.0000000000000009</v>
      </c>
    </row>
  </sheetData>
  <mergeCells count="93">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A203:B203"/>
    <mergeCell ref="C203:M203"/>
    <mergeCell ref="A204:B204"/>
    <mergeCell ref="C204:M204"/>
    <mergeCell ref="A205:B205"/>
    <mergeCell ref="C205:M205"/>
    <mergeCell ref="A302:B302"/>
    <mergeCell ref="C302:M302"/>
    <mergeCell ref="C206:M206"/>
    <mergeCell ref="C207:M207"/>
    <mergeCell ref="C208:M208"/>
    <mergeCell ref="B209:M209"/>
    <mergeCell ref="B210:M210"/>
    <mergeCell ref="B211:L211"/>
    <mergeCell ref="B220:L220"/>
    <mergeCell ref="A300:C300"/>
    <mergeCell ref="E300:F300"/>
    <mergeCell ref="A301:B301"/>
    <mergeCell ref="C301:M301"/>
    <mergeCell ref="A303:B303"/>
    <mergeCell ref="C303:M303"/>
    <mergeCell ref="A304:B304"/>
    <mergeCell ref="C304:M304"/>
    <mergeCell ref="A305:B305"/>
    <mergeCell ref="C305:M305"/>
    <mergeCell ref="A402:B402"/>
    <mergeCell ref="C402:M402"/>
    <mergeCell ref="C306:M306"/>
    <mergeCell ref="C307:M307"/>
    <mergeCell ref="C308:M308"/>
    <mergeCell ref="B309:M309"/>
    <mergeCell ref="B310:M310"/>
    <mergeCell ref="B311:L311"/>
    <mergeCell ref="B315:K315"/>
    <mergeCell ref="A400:C400"/>
    <mergeCell ref="E400:F400"/>
    <mergeCell ref="A401:B401"/>
    <mergeCell ref="C401:M401"/>
    <mergeCell ref="A403:B403"/>
    <mergeCell ref="C403:M403"/>
    <mergeCell ref="A404:B404"/>
    <mergeCell ref="C404:M404"/>
    <mergeCell ref="A405:B405"/>
    <mergeCell ref="C405:M405"/>
    <mergeCell ref="B415:L415"/>
    <mergeCell ref="C406:M406"/>
    <mergeCell ref="C407:M407"/>
    <mergeCell ref="C408:M408"/>
    <mergeCell ref="B409:M409"/>
    <mergeCell ref="B410:M410"/>
    <mergeCell ref="B411:L411"/>
  </mergeCells>
  <phoneticPr fontId="2" type="noConversion"/>
  <pageMargins left="0.75" right="0.75" top="1" bottom="1" header="0.5" footer="0.5"/>
  <headerFooter scaleWithDoc="0"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V221"/>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165</v>
      </c>
      <c r="B1" s="498"/>
      <c r="C1" s="499"/>
      <c r="D1" s="87"/>
      <c r="E1" s="500" t="str">
        <f>HYPERLINK("#目录!A95","跳转回到目录页")</f>
        <v>跳转回到目录页</v>
      </c>
      <c r="F1" s="501"/>
    </row>
    <row r="2" spans="1:48" s="88" customFormat="1" ht="26.25" customHeight="1">
      <c r="A2" s="502" t="s">
        <v>1216</v>
      </c>
      <c r="B2" s="502"/>
      <c r="C2" s="503" t="s">
        <v>164</v>
      </c>
      <c r="D2" s="503"/>
      <c r="E2" s="503"/>
      <c r="F2" s="503"/>
      <c r="G2" s="503"/>
      <c r="H2" s="503"/>
      <c r="I2" s="503"/>
      <c r="J2" s="503"/>
      <c r="K2" s="503"/>
      <c r="L2" s="503"/>
      <c r="M2" s="503"/>
    </row>
    <row r="3" spans="1:48" s="88" customFormat="1" ht="16.5" customHeight="1">
      <c r="A3" s="496" t="s">
        <v>1217</v>
      </c>
      <c r="B3" s="496"/>
      <c r="C3" s="493" t="s">
        <v>164</v>
      </c>
      <c r="D3" s="493"/>
      <c r="E3" s="493"/>
      <c r="F3" s="493"/>
      <c r="G3" s="493"/>
      <c r="H3" s="493"/>
      <c r="I3" s="493"/>
      <c r="J3" s="493"/>
      <c r="K3" s="493"/>
      <c r="L3" s="493"/>
      <c r="M3" s="493"/>
    </row>
    <row r="4" spans="1:48" s="88" customFormat="1" ht="16.5" customHeight="1">
      <c r="A4" s="496" t="s">
        <v>5786</v>
      </c>
      <c r="B4" s="496"/>
      <c r="C4" s="497" t="s">
        <v>164</v>
      </c>
      <c r="D4" s="497"/>
      <c r="E4" s="497"/>
      <c r="F4" s="497"/>
      <c r="G4" s="497"/>
      <c r="H4" s="497"/>
      <c r="I4" s="497"/>
      <c r="J4" s="497"/>
      <c r="K4" s="497"/>
      <c r="L4" s="497"/>
      <c r="M4" s="497"/>
    </row>
    <row r="5" spans="1:48" s="88" customFormat="1" ht="16.5" customHeight="1">
      <c r="A5" s="496" t="s">
        <v>1220</v>
      </c>
      <c r="B5" s="496"/>
      <c r="C5" s="493" t="s">
        <v>2380</v>
      </c>
      <c r="D5" s="493"/>
      <c r="E5" s="493"/>
      <c r="F5" s="493"/>
      <c r="G5" s="493"/>
      <c r="H5" s="493"/>
      <c r="I5" s="493"/>
      <c r="J5" s="493"/>
      <c r="K5" s="493"/>
      <c r="L5" s="493"/>
      <c r="M5" s="493"/>
    </row>
    <row r="6" spans="1:48" s="88" customFormat="1" ht="16.5" customHeight="1">
      <c r="A6" s="496" t="s">
        <v>5785</v>
      </c>
      <c r="B6" s="496"/>
      <c r="C6" s="493" t="s">
        <v>2381</v>
      </c>
      <c r="D6" s="493"/>
      <c r="E6" s="493"/>
      <c r="F6" s="493"/>
      <c r="G6" s="493"/>
      <c r="H6" s="493"/>
      <c r="I6" s="493"/>
      <c r="J6" s="493"/>
      <c r="K6" s="493"/>
      <c r="L6" s="493"/>
      <c r="M6" s="493"/>
    </row>
    <row r="7" spans="1:48" s="88" customFormat="1" ht="16.5" customHeight="1">
      <c r="A7" s="89" t="s">
        <v>1223</v>
      </c>
      <c r="B7" s="92" t="s">
        <v>2382</v>
      </c>
      <c r="C7" s="493" t="s">
        <v>2383</v>
      </c>
      <c r="D7" s="493"/>
      <c r="E7" s="493"/>
      <c r="F7" s="493"/>
      <c r="G7" s="493"/>
      <c r="H7" s="493"/>
      <c r="I7" s="493"/>
      <c r="J7" s="493"/>
      <c r="K7" s="493"/>
      <c r="L7" s="493"/>
      <c r="M7" s="493"/>
    </row>
    <row r="8" spans="1:48" s="88" customFormat="1" ht="16.5" customHeight="1">
      <c r="A8" s="89"/>
      <c r="B8" s="92" t="s">
        <v>687</v>
      </c>
      <c r="C8" s="493" t="s">
        <v>2384</v>
      </c>
      <c r="D8" s="493"/>
      <c r="E8" s="493"/>
      <c r="F8" s="493"/>
      <c r="G8" s="493"/>
      <c r="H8" s="493"/>
      <c r="I8" s="493"/>
      <c r="J8" s="493"/>
      <c r="K8" s="493"/>
      <c r="L8" s="493"/>
      <c r="M8" s="493"/>
    </row>
    <row r="9" spans="1:48" s="88" customFormat="1" ht="16.5" customHeight="1">
      <c r="A9" s="89"/>
      <c r="B9" s="90" t="s">
        <v>717</v>
      </c>
      <c r="C9" s="493" t="s">
        <v>2385</v>
      </c>
      <c r="D9" s="493"/>
      <c r="E9" s="493"/>
      <c r="F9" s="493"/>
      <c r="G9" s="493"/>
      <c r="H9" s="493"/>
      <c r="I9" s="493"/>
      <c r="J9" s="493"/>
      <c r="K9" s="493"/>
      <c r="L9" s="493"/>
      <c r="M9" s="493"/>
    </row>
    <row r="10" spans="1:48" s="88" customFormat="1" ht="16.5" customHeight="1">
      <c r="A10" s="89"/>
      <c r="B10" s="88" t="s">
        <v>2386</v>
      </c>
      <c r="C10" s="613" t="s">
        <v>2387</v>
      </c>
      <c r="D10" s="613"/>
      <c r="E10" s="613"/>
      <c r="F10" s="613"/>
      <c r="G10" s="613"/>
      <c r="H10" s="613"/>
      <c r="I10" s="613"/>
      <c r="J10" s="613"/>
      <c r="K10" s="613"/>
      <c r="L10" s="613"/>
      <c r="M10" s="613"/>
    </row>
    <row r="11" spans="1:48" s="88" customFormat="1" ht="16.5" customHeight="1">
      <c r="A11" s="89" t="s">
        <v>1228</v>
      </c>
      <c r="B11" s="493"/>
      <c r="C11" s="493"/>
      <c r="D11" s="493"/>
      <c r="E11" s="493"/>
      <c r="F11" s="493"/>
      <c r="G11" s="493"/>
      <c r="H11" s="493"/>
      <c r="I11" s="493"/>
      <c r="J11" s="493"/>
      <c r="K11" s="493"/>
      <c r="L11" s="493"/>
      <c r="M11" s="493"/>
    </row>
    <row r="12" spans="1:48" ht="16.5" customHeight="1">
      <c r="A12" s="89" t="s">
        <v>1229</v>
      </c>
      <c r="B12" s="493" t="s">
        <v>2388</v>
      </c>
      <c r="C12" s="493"/>
      <c r="D12" s="493"/>
      <c r="E12" s="493"/>
      <c r="F12" s="493"/>
      <c r="G12" s="493"/>
      <c r="H12" s="493"/>
      <c r="I12" s="493"/>
      <c r="J12" s="493"/>
      <c r="K12" s="493"/>
      <c r="L12" s="493"/>
      <c r="M12" s="493"/>
    </row>
    <row r="13" spans="1:48" ht="21" customHeight="1">
      <c r="B13" s="494" t="s">
        <v>1231</v>
      </c>
      <c r="C13" s="494"/>
      <c r="D13" s="494"/>
      <c r="E13" s="494"/>
      <c r="F13" s="494"/>
      <c r="G13" s="494"/>
      <c r="H13" s="494"/>
      <c r="I13" s="494"/>
      <c r="J13" s="494"/>
      <c r="K13" s="494"/>
      <c r="L13" s="495"/>
    </row>
    <row r="14" spans="1:48" s="93" customFormat="1" ht="16.5" customHeight="1"/>
    <row r="15" spans="1:48" s="93" customFormat="1" ht="16.5" customHeight="1">
      <c r="A15" s="94" t="s">
        <v>1232</v>
      </c>
      <c r="B15" s="93" t="s">
        <v>1773</v>
      </c>
    </row>
    <row r="16" spans="1:48" s="93" customFormat="1" ht="16.5" customHeight="1">
      <c r="G16" s="170"/>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65" t="s">
        <v>2389</v>
      </c>
      <c r="C17" s="565"/>
      <c r="D17" s="565"/>
      <c r="E17" s="565"/>
      <c r="F17" s="565"/>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2390</v>
      </c>
      <c r="C18" s="96" t="s">
        <v>2391</v>
      </c>
      <c r="D18" s="96" t="s">
        <v>2392</v>
      </c>
      <c r="E18" s="96" t="s">
        <v>2393</v>
      </c>
      <c r="F18" s="97" t="s">
        <v>2205</v>
      </c>
      <c r="G18" s="104" t="s">
        <v>1238</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1</v>
      </c>
      <c r="C19" s="110">
        <v>-0.16667000000000001</v>
      </c>
      <c r="D19" s="110">
        <v>8.3330000000000001E-3</v>
      </c>
      <c r="E19" s="110">
        <v>-2.0000000000000001E-4</v>
      </c>
      <c r="F19" s="293">
        <f>SERIESSUM(0.2,1,2,B19:E19)</f>
        <v>0.19866930400000002</v>
      </c>
      <c r="G19" s="108" t="s">
        <v>2394</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05"/>
      <c r="C20" s="113"/>
      <c r="D20" s="106" t="s">
        <v>2395</v>
      </c>
      <c r="E20" s="113" t="s">
        <v>2396</v>
      </c>
      <c r="F20" s="294">
        <v>0.19866900000000001</v>
      </c>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F21" s="4"/>
      <c r="G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G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A24" s="94"/>
      <c r="G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G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G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G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G28" s="18"/>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G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G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2:48" s="93" customFormat="1" ht="16.5" customHeight="1">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2: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2: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2: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2: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2: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2: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2:48" s="93" customFormat="1" ht="16.5" customHeight="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2:48" s="93" customFormat="1" ht="16.5" customHeight="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2:48" s="93" customFormat="1" ht="16.5" customHeight="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2:48" s="93" customFormat="1" ht="16.5" customHeight="1">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2:48" s="93" customFormat="1" ht="16.5" customHeight="1">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2:48" s="93" customFormat="1" ht="16.5" customHeight="1">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2:48" s="93" customFormat="1" ht="16.5" customHeight="1">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2:48" s="93" customFormat="1" ht="16.5" customHeight="1">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2:48" s="93" customFormat="1" ht="16.5" customHeight="1">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2:48" s="93" customFormat="1" ht="16.5" customHeight="1">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2:48" s="93" customFormat="1" ht="16.5" customHeight="1">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2:48" s="93" customFormat="1" ht="16.5" customHeight="1">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2:48" s="93" customFormat="1" ht="16.5" customHeight="1">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2:48" s="93" customFormat="1" ht="16.5" customHeight="1">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2:48" s="93" customFormat="1" ht="16.5" customHeight="1">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12:48" s="93" customFormat="1" ht="16.5" customHeight="1">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2:48" s="93" customFormat="1" ht="16.5" customHeight="1">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12:48" s="93" customFormat="1" ht="16.5" customHeight="1">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2:48" s="93" customFormat="1" ht="16.5" customHeight="1">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12:48" s="93" customFormat="1" ht="16.5" customHeight="1">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2:48" s="93" customFormat="1" ht="16.5" customHeight="1">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12:48" s="93" customFormat="1" ht="16.5" customHeight="1">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2:48" s="93" customFormat="1" ht="16.5" customHeight="1">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12:48" s="93" customFormat="1" ht="16.5" customHeight="1">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2:48" s="93" customFormat="1" ht="16.5" customHeight="1">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2:48" s="93" customFormat="1" ht="16.5" customHeight="1">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2:48" s="93" customFormat="1" ht="16.5" customHeight="1">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2:48" s="93" customFormat="1" ht="16.5" customHeight="1">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2:48" s="93" customFormat="1" ht="16.5" customHeight="1">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2:48" s="93" customFormat="1" ht="16.5" customHeight="1">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2:48" s="93" customFormat="1" ht="16.5" customHeight="1">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2:48" s="93" customFormat="1" ht="16.5" customHeight="1">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2:48" s="93" customFormat="1" ht="16.5" customHeight="1">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2:48" s="93" customFormat="1" ht="16.5" customHeight="1">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2:48" s="93" customFormat="1" ht="16.5" customHeight="1">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2:48" s="93" customFormat="1" ht="16.5" customHeight="1">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2:48" s="93" customFormat="1" ht="16.5" customHeight="1">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2:48" s="93" customFormat="1" ht="16.5" customHeight="1">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2:48" s="93" customFormat="1" ht="16.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2:48" s="93" customFormat="1" ht="16.5" customHeight="1">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2:48" s="93" customFormat="1" ht="16.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1:48" s="93" customFormat="1" ht="16.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1:48" s="93" customFormat="1" ht="16.5" customHeight="1">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1:48" s="93" customFormat="1" ht="16.5" customHeight="1">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1:48" s="93" customFormat="1" ht="16.5" customHeight="1">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1:48" s="93" customFormat="1" ht="16.5" customHeight="1">
      <c r="A85" s="9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1:48" s="93" customFormat="1" ht="16.5" customHeight="1">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1:48" s="93" customFormat="1" ht="16.5" customHeight="1">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1:48" s="93" customFormat="1" ht="16.5" customHeight="1">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1:48" s="93" customFormat="1" ht="16.5" customHeight="1">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1:48" s="93" customFormat="1" ht="16.5" customHeight="1">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1:48" s="93" customFormat="1" ht="16.5" customHeight="1">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1:48" s="93" customFormat="1" ht="16.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1:48" s="93" customFormat="1" ht="16.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1:48" s="93" customFormat="1" ht="16.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1:48" s="93" customFormat="1" ht="16.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1:48" s="93" customFormat="1" ht="16.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100" spans="1:48" s="88" customFormat="1" ht="26.25" customHeight="1">
      <c r="A100" s="498" t="s">
        <v>168</v>
      </c>
      <c r="B100" s="498"/>
      <c r="C100" s="499"/>
      <c r="D100" s="87"/>
      <c r="E100" s="500" t="str">
        <f>HYPERLINK("#目录!A97","跳转回到目录页")</f>
        <v>跳转回到目录页</v>
      </c>
      <c r="F100" s="501"/>
    </row>
    <row r="101" spans="1:48" s="88" customFormat="1" ht="26.25" customHeight="1">
      <c r="A101" s="502" t="s">
        <v>1216</v>
      </c>
      <c r="B101" s="502"/>
      <c r="C101" s="503" t="s">
        <v>167</v>
      </c>
      <c r="D101" s="503"/>
      <c r="E101" s="503"/>
      <c r="F101" s="503"/>
      <c r="G101" s="503"/>
      <c r="H101" s="503"/>
      <c r="I101" s="503"/>
      <c r="J101" s="503"/>
      <c r="K101" s="503"/>
      <c r="L101" s="503"/>
      <c r="M101" s="503"/>
    </row>
    <row r="102" spans="1:48" s="88" customFormat="1" ht="16.5" customHeight="1">
      <c r="A102" s="496" t="s">
        <v>1217</v>
      </c>
      <c r="B102" s="496"/>
      <c r="C102" s="493" t="s">
        <v>2397</v>
      </c>
      <c r="D102" s="493"/>
      <c r="E102" s="493"/>
      <c r="F102" s="493"/>
      <c r="G102" s="493"/>
      <c r="H102" s="493"/>
      <c r="I102" s="493"/>
      <c r="J102" s="493"/>
      <c r="K102" s="493"/>
      <c r="L102" s="493"/>
      <c r="M102" s="493"/>
    </row>
    <row r="103" spans="1:48" s="88" customFormat="1" ht="16.5" customHeight="1">
      <c r="A103" s="496" t="s">
        <v>5786</v>
      </c>
      <c r="B103" s="496"/>
      <c r="C103" s="497" t="s">
        <v>2398</v>
      </c>
      <c r="D103" s="497"/>
      <c r="E103" s="497"/>
      <c r="F103" s="497"/>
      <c r="G103" s="497"/>
      <c r="H103" s="497"/>
      <c r="I103" s="497"/>
      <c r="J103" s="497"/>
      <c r="K103" s="497"/>
      <c r="L103" s="497"/>
      <c r="M103" s="497"/>
    </row>
    <row r="104" spans="1:48" s="88" customFormat="1" ht="16.5" customHeight="1">
      <c r="A104" s="496" t="s">
        <v>1220</v>
      </c>
      <c r="B104" s="496"/>
      <c r="C104" s="493" t="s">
        <v>2399</v>
      </c>
      <c r="D104" s="493"/>
      <c r="E104" s="493"/>
      <c r="F104" s="493"/>
      <c r="G104" s="493"/>
      <c r="H104" s="493"/>
      <c r="I104" s="493"/>
      <c r="J104" s="493"/>
      <c r="K104" s="493"/>
      <c r="L104" s="493"/>
      <c r="M104" s="493"/>
    </row>
    <row r="105" spans="1:48" s="88" customFormat="1" ht="16.5" customHeight="1">
      <c r="A105" s="496" t="s">
        <v>5785</v>
      </c>
      <c r="B105" s="496"/>
      <c r="C105" s="493" t="s">
        <v>2400</v>
      </c>
      <c r="D105" s="493"/>
      <c r="E105" s="493"/>
      <c r="F105" s="493"/>
      <c r="G105" s="493"/>
      <c r="H105" s="493"/>
      <c r="I105" s="493"/>
      <c r="J105" s="493"/>
      <c r="K105" s="493"/>
      <c r="L105" s="493"/>
      <c r="M105" s="493"/>
    </row>
    <row r="106" spans="1:48" s="88" customFormat="1" ht="16.5" customHeight="1">
      <c r="A106" s="89" t="s">
        <v>1223</v>
      </c>
      <c r="B106" s="92" t="s">
        <v>2200</v>
      </c>
      <c r="C106" s="493" t="s">
        <v>2401</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c r="C109" s="493"/>
      <c r="D109" s="493"/>
      <c r="E109" s="493"/>
      <c r="F109" s="493"/>
      <c r="G109" s="493"/>
      <c r="H109" s="493"/>
      <c r="I109" s="493"/>
      <c r="J109" s="493"/>
      <c r="K109" s="493"/>
      <c r="L109" s="493"/>
      <c r="M109" s="493"/>
    </row>
    <row r="110" spans="1:48" ht="16.5" customHeight="1">
      <c r="A110" s="89" t="s">
        <v>1229</v>
      </c>
      <c r="B110" s="493" t="s">
        <v>2402</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8" s="93" customFormat="1" ht="16.5" customHeight="1">
      <c r="A113" s="94" t="s">
        <v>1232</v>
      </c>
      <c r="B113" s="93" t="s">
        <v>1773</v>
      </c>
    </row>
    <row r="114" spans="1:8" ht="16.5" customHeight="1">
      <c r="A114" s="93"/>
      <c r="B114" s="93"/>
      <c r="C114" s="93"/>
      <c r="D114" s="93"/>
      <c r="E114" s="93"/>
      <c r="F114" s="93"/>
      <c r="G114" s="93"/>
      <c r="H114" s="93"/>
    </row>
    <row r="115" spans="1:8" ht="16.5" customHeight="1">
      <c r="A115" s="93"/>
      <c r="B115" s="95" t="s">
        <v>2087</v>
      </c>
      <c r="C115" s="188">
        <v>16</v>
      </c>
      <c r="D115" s="188">
        <v>4.67</v>
      </c>
      <c r="E115" s="188">
        <v>2</v>
      </c>
      <c r="F115" s="188">
        <v>0</v>
      </c>
      <c r="G115" s="138">
        <v>-1</v>
      </c>
      <c r="H115" s="104" t="s">
        <v>1238</v>
      </c>
    </row>
    <row r="116" spans="1:8" ht="16.5" customHeight="1">
      <c r="A116" s="93"/>
      <c r="B116" s="151" t="s">
        <v>1456</v>
      </c>
      <c r="C116" s="113">
        <f>SQRT(C115)</f>
        <v>4</v>
      </c>
      <c r="D116" s="113">
        <f>SQRT(D115)</f>
        <v>2.1610182784974308</v>
      </c>
      <c r="E116" s="113">
        <f>SQRT(E115)</f>
        <v>1.4142135623730951</v>
      </c>
      <c r="F116" s="113">
        <f>SQRT(F115)</f>
        <v>0</v>
      </c>
      <c r="G116" s="107" t="e">
        <f>SQRT(G115)</f>
        <v>#NUM!</v>
      </c>
      <c r="H116" s="108" t="s">
        <v>2403</v>
      </c>
    </row>
    <row r="117" spans="1:8" ht="16.5" customHeight="1"/>
    <row r="118" spans="1:8" ht="16.5" customHeight="1">
      <c r="G118" s="18"/>
    </row>
    <row r="119" spans="1:8" ht="16.5" customHeight="1"/>
    <row r="120" spans="1:8" ht="16.5" customHeight="1"/>
    <row r="121" spans="1:8" ht="16.5" customHeight="1"/>
    <row r="122" spans="1:8" ht="16.5" customHeight="1">
      <c r="G122" s="18"/>
    </row>
    <row r="126" spans="1:8">
      <c r="G126" s="18"/>
    </row>
    <row r="200" spans="1:13" s="88" customFormat="1" ht="26.25" customHeight="1">
      <c r="A200" s="498" t="s">
        <v>169</v>
      </c>
      <c r="B200" s="498"/>
      <c r="C200" s="499"/>
      <c r="D200" s="87"/>
      <c r="E200" s="500" t="str">
        <f>HYPERLINK("#目录!A98","跳转回到目录页")</f>
        <v>跳转回到目录页</v>
      </c>
      <c r="F200" s="501"/>
    </row>
    <row r="201" spans="1:13" s="88" customFormat="1" ht="26.25" customHeight="1">
      <c r="A201" s="502" t="s">
        <v>1216</v>
      </c>
      <c r="B201" s="502"/>
      <c r="C201" s="503" t="s">
        <v>170</v>
      </c>
      <c r="D201" s="503"/>
      <c r="E201" s="503"/>
      <c r="F201" s="503"/>
      <c r="G201" s="503"/>
      <c r="H201" s="503"/>
      <c r="I201" s="503"/>
      <c r="J201" s="503"/>
      <c r="K201" s="503"/>
      <c r="L201" s="503"/>
      <c r="M201" s="503"/>
    </row>
    <row r="202" spans="1:13" s="88" customFormat="1" ht="16.5" customHeight="1">
      <c r="A202" s="496" t="s">
        <v>1217</v>
      </c>
      <c r="B202" s="496"/>
      <c r="C202" s="493" t="s">
        <v>2404</v>
      </c>
      <c r="D202" s="493"/>
      <c r="E202" s="493"/>
      <c r="F202" s="493"/>
      <c r="G202" s="493"/>
      <c r="H202" s="493"/>
      <c r="I202" s="493"/>
      <c r="J202" s="493"/>
      <c r="K202" s="493"/>
      <c r="L202" s="493"/>
      <c r="M202" s="493"/>
    </row>
    <row r="203" spans="1:13" s="88" customFormat="1" ht="16.5" customHeight="1">
      <c r="A203" s="496" t="s">
        <v>5786</v>
      </c>
      <c r="B203" s="496"/>
      <c r="C203" s="497" t="s">
        <v>170</v>
      </c>
      <c r="D203" s="497"/>
      <c r="E203" s="497"/>
      <c r="F203" s="497"/>
      <c r="G203" s="497"/>
      <c r="H203" s="497"/>
      <c r="I203" s="497"/>
      <c r="J203" s="497"/>
      <c r="K203" s="497"/>
      <c r="L203" s="497"/>
      <c r="M203" s="497"/>
    </row>
    <row r="204" spans="1:13" s="88" customFormat="1" ht="16.5" customHeight="1">
      <c r="A204" s="496" t="s">
        <v>1220</v>
      </c>
      <c r="B204" s="496"/>
      <c r="C204" s="493" t="s">
        <v>2405</v>
      </c>
      <c r="D204" s="493"/>
      <c r="E204" s="493"/>
      <c r="F204" s="493"/>
      <c r="G204" s="493"/>
      <c r="H204" s="493"/>
      <c r="I204" s="493"/>
      <c r="J204" s="493"/>
      <c r="K204" s="493"/>
      <c r="L204" s="493"/>
      <c r="M204" s="493"/>
    </row>
    <row r="205" spans="1:13" s="88" customFormat="1" ht="16.5" customHeight="1">
      <c r="A205" s="496" t="s">
        <v>5785</v>
      </c>
      <c r="B205" s="496"/>
      <c r="C205" s="493" t="s">
        <v>2406</v>
      </c>
      <c r="D205" s="493"/>
      <c r="E205" s="493"/>
      <c r="F205" s="493"/>
      <c r="G205" s="493"/>
      <c r="H205" s="493"/>
      <c r="I205" s="493"/>
      <c r="J205" s="493"/>
      <c r="K205" s="493"/>
      <c r="L205" s="493"/>
      <c r="M205" s="493"/>
    </row>
    <row r="206" spans="1:13" s="88" customFormat="1" ht="16.5" customHeight="1">
      <c r="A206" s="89" t="s">
        <v>1223</v>
      </c>
      <c r="B206" s="92" t="s">
        <v>2200</v>
      </c>
      <c r="C206" s="493" t="s">
        <v>2407</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t="s">
        <v>2408</v>
      </c>
      <c r="C209" s="493"/>
      <c r="D209" s="493"/>
      <c r="E209" s="493"/>
      <c r="F209" s="493"/>
      <c r="G209" s="493"/>
      <c r="H209" s="493"/>
      <c r="I209" s="493"/>
      <c r="J209" s="493"/>
      <c r="K209" s="493"/>
      <c r="L209" s="493"/>
      <c r="M209" s="493"/>
    </row>
    <row r="210" spans="1:13" ht="16.5" customHeight="1">
      <c r="A210" s="89" t="s">
        <v>1229</v>
      </c>
      <c r="B210" s="493" t="s">
        <v>2409</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A214" s="93"/>
      <c r="B214" s="93"/>
      <c r="C214" s="93"/>
      <c r="D214" s="93"/>
      <c r="E214" s="93"/>
      <c r="F214" s="93"/>
      <c r="G214" s="93"/>
      <c r="H214" s="93"/>
      <c r="I214" s="93"/>
    </row>
    <row r="215" spans="1:13" ht="16.5" customHeight="1">
      <c r="A215" s="93"/>
      <c r="B215" s="95" t="s">
        <v>2087</v>
      </c>
      <c r="C215" s="188">
        <v>4</v>
      </c>
      <c r="D215" s="188">
        <v>3.2</v>
      </c>
      <c r="E215" s="188">
        <v>2</v>
      </c>
      <c r="F215" s="188">
        <v>0</v>
      </c>
      <c r="G215" s="138">
        <v>-1</v>
      </c>
      <c r="H215" s="104" t="s">
        <v>1238</v>
      </c>
      <c r="I215" s="93"/>
    </row>
    <row r="216" spans="1:13" ht="16.5" customHeight="1">
      <c r="A216" s="93"/>
      <c r="B216" s="151" t="s">
        <v>1456</v>
      </c>
      <c r="C216" s="113">
        <f>SQRTPI(C215)</f>
        <v>3.5449077018110318</v>
      </c>
      <c r="D216" s="113">
        <f>SQRTPI(D215)</f>
        <v>3.1706618380848086</v>
      </c>
      <c r="E216" s="113">
        <f>SQRTPI(E215)</f>
        <v>2.5066282746310002</v>
      </c>
      <c r="F216" s="113">
        <f>SQRTPI(F215)</f>
        <v>0</v>
      </c>
      <c r="G216" s="107" t="e">
        <f>SQRTPI(G215)</f>
        <v>#NUM!</v>
      </c>
      <c r="H216" s="108" t="s">
        <v>2410</v>
      </c>
      <c r="I216" s="93"/>
    </row>
    <row r="217" spans="1:13" ht="16.5" customHeight="1">
      <c r="A217" s="93"/>
      <c r="B217" s="93"/>
      <c r="C217" s="93"/>
      <c r="D217" s="93"/>
      <c r="E217" s="93"/>
      <c r="F217" s="93"/>
      <c r="G217" s="93"/>
      <c r="H217" s="93"/>
      <c r="I217" s="93"/>
    </row>
    <row r="218" spans="1:13" ht="16.5" customHeight="1"/>
    <row r="219" spans="1:13" ht="16.5" customHeight="1"/>
    <row r="220" spans="1:13" ht="16.5" customHeight="1"/>
    <row r="221" spans="1:13" ht="16.5" customHeight="1"/>
  </sheetData>
  <mergeCells count="56">
    <mergeCell ref="A1:C1"/>
    <mergeCell ref="E1:F1"/>
    <mergeCell ref="A2:B2"/>
    <mergeCell ref="C2:M2"/>
    <mergeCell ref="A3:B3"/>
    <mergeCell ref="C3:M3"/>
    <mergeCell ref="B12:M12"/>
    <mergeCell ref="A4:B4"/>
    <mergeCell ref="C4:M4"/>
    <mergeCell ref="A5:B5"/>
    <mergeCell ref="C5:M5"/>
    <mergeCell ref="A6:B6"/>
    <mergeCell ref="C6:M6"/>
    <mergeCell ref="C7:M7"/>
    <mergeCell ref="C8:M8"/>
    <mergeCell ref="C9:M9"/>
    <mergeCell ref="C10:M10"/>
    <mergeCell ref="B11:M11"/>
    <mergeCell ref="B13:L13"/>
    <mergeCell ref="B17:F17"/>
    <mergeCell ref="A100:C100"/>
    <mergeCell ref="E100:F100"/>
    <mergeCell ref="A101:B101"/>
    <mergeCell ref="C101:M101"/>
    <mergeCell ref="B109:M109"/>
    <mergeCell ref="A102:B102"/>
    <mergeCell ref="C102:M102"/>
    <mergeCell ref="A103:B103"/>
    <mergeCell ref="C103:M103"/>
    <mergeCell ref="A104:B104"/>
    <mergeCell ref="C104:M104"/>
    <mergeCell ref="A105:B105"/>
    <mergeCell ref="C105:M105"/>
    <mergeCell ref="C106:M106"/>
    <mergeCell ref="C107:M107"/>
    <mergeCell ref="C108:M108"/>
    <mergeCell ref="B110:M110"/>
    <mergeCell ref="B111:L111"/>
    <mergeCell ref="A200:C200"/>
    <mergeCell ref="E200:F200"/>
    <mergeCell ref="A201:B201"/>
    <mergeCell ref="C201:M201"/>
    <mergeCell ref="A202:B202"/>
    <mergeCell ref="C202:M202"/>
    <mergeCell ref="A203:B203"/>
    <mergeCell ref="C203:M203"/>
    <mergeCell ref="A204:B204"/>
    <mergeCell ref="C204:M204"/>
    <mergeCell ref="B210:M210"/>
    <mergeCell ref="B211:L211"/>
    <mergeCell ref="A205:B205"/>
    <mergeCell ref="C205:M205"/>
    <mergeCell ref="C206:M206"/>
    <mergeCell ref="C207:M207"/>
    <mergeCell ref="C208:M208"/>
    <mergeCell ref="B209:M209"/>
  </mergeCells>
  <phoneticPr fontId="2" type="noConversion"/>
  <pageMargins left="0.75" right="0.75" top="1" bottom="1" header="0.5" footer="0.5"/>
  <pageSetup paperSize="9" orientation="portrait" horizontalDpi="1200" verticalDpi="1200"/>
  <headerFooter scaleWithDoc="0"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V41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173</v>
      </c>
      <c r="B1" s="498"/>
      <c r="C1" s="499"/>
      <c r="D1" s="87"/>
      <c r="E1" s="500" t="str">
        <f>HYPERLINK("#目录!A95","跳转回到目录页")</f>
        <v>跳转回到目录页</v>
      </c>
      <c r="F1" s="501"/>
    </row>
    <row r="2" spans="1:48" s="88" customFormat="1" ht="26.25" customHeight="1">
      <c r="A2" s="502" t="s">
        <v>1216</v>
      </c>
      <c r="B2" s="502"/>
      <c r="C2" s="503" t="s">
        <v>174</v>
      </c>
      <c r="D2" s="503"/>
      <c r="E2" s="503"/>
      <c r="F2" s="503"/>
      <c r="G2" s="503"/>
      <c r="H2" s="503"/>
      <c r="I2" s="503"/>
      <c r="J2" s="503"/>
      <c r="K2" s="503"/>
      <c r="L2" s="503"/>
      <c r="M2" s="503"/>
    </row>
    <row r="3" spans="1:48" s="88" customFormat="1" ht="16.5" customHeight="1">
      <c r="A3" s="496" t="s">
        <v>1217</v>
      </c>
      <c r="B3" s="496"/>
      <c r="C3" s="493" t="s">
        <v>2411</v>
      </c>
      <c r="D3" s="493"/>
      <c r="E3" s="493"/>
      <c r="F3" s="493"/>
      <c r="G3" s="493"/>
      <c r="H3" s="493"/>
      <c r="I3" s="493"/>
      <c r="J3" s="493"/>
      <c r="K3" s="493"/>
      <c r="L3" s="493"/>
      <c r="M3" s="493"/>
    </row>
    <row r="4" spans="1:48" s="88" customFormat="1" ht="16.5" customHeight="1">
      <c r="A4" s="496" t="s">
        <v>5786</v>
      </c>
      <c r="B4" s="496"/>
      <c r="C4" s="497" t="s">
        <v>174</v>
      </c>
      <c r="D4" s="497"/>
      <c r="E4" s="497"/>
      <c r="F4" s="497"/>
      <c r="G4" s="497"/>
      <c r="H4" s="497"/>
      <c r="I4" s="497"/>
      <c r="J4" s="497"/>
      <c r="K4" s="497"/>
      <c r="L4" s="497"/>
      <c r="M4" s="497"/>
    </row>
    <row r="5" spans="1:48" s="88" customFormat="1" ht="16.5" customHeight="1">
      <c r="A5" s="496" t="s">
        <v>1220</v>
      </c>
      <c r="B5" s="496"/>
      <c r="C5" s="493" t="s">
        <v>2412</v>
      </c>
      <c r="D5" s="493"/>
      <c r="E5" s="493"/>
      <c r="F5" s="493"/>
      <c r="G5" s="493"/>
      <c r="H5" s="493"/>
      <c r="I5" s="493"/>
      <c r="J5" s="493"/>
      <c r="K5" s="493"/>
      <c r="L5" s="493"/>
      <c r="M5" s="493"/>
    </row>
    <row r="6" spans="1:48" s="88" customFormat="1" ht="16.5" customHeight="1">
      <c r="A6" s="496" t="s">
        <v>5785</v>
      </c>
      <c r="B6" s="496"/>
      <c r="C6" s="493" t="s">
        <v>2413</v>
      </c>
      <c r="D6" s="493"/>
      <c r="E6" s="493"/>
      <c r="F6" s="493"/>
      <c r="G6" s="493"/>
      <c r="H6" s="493"/>
      <c r="I6" s="493"/>
      <c r="J6" s="493"/>
      <c r="K6" s="493"/>
      <c r="L6" s="493"/>
      <c r="M6" s="493"/>
    </row>
    <row r="7" spans="1:48" s="88" customFormat="1" ht="16.5" customHeight="1">
      <c r="A7" s="89" t="s">
        <v>1223</v>
      </c>
      <c r="B7" s="92" t="s">
        <v>2200</v>
      </c>
      <c r="C7" s="493" t="s">
        <v>2414</v>
      </c>
      <c r="D7" s="493"/>
      <c r="E7" s="493"/>
      <c r="F7" s="493"/>
      <c r="G7" s="493"/>
      <c r="H7" s="493"/>
      <c r="I7" s="493"/>
      <c r="J7" s="493"/>
      <c r="K7" s="493"/>
      <c r="L7" s="493"/>
      <c r="M7" s="493"/>
    </row>
    <row r="8" spans="1:48" s="88" customFormat="1" ht="16.5" customHeight="1">
      <c r="A8" s="89"/>
      <c r="B8" s="92" t="s">
        <v>2415</v>
      </c>
      <c r="C8" s="493" t="s">
        <v>2416</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2417</v>
      </c>
      <c r="C10" s="493"/>
      <c r="D10" s="493"/>
      <c r="E10" s="493"/>
      <c r="F10" s="493"/>
      <c r="G10" s="493"/>
      <c r="H10" s="493"/>
      <c r="I10" s="493"/>
      <c r="J10" s="493"/>
      <c r="K10" s="493"/>
      <c r="L10" s="493"/>
      <c r="M10" s="493"/>
    </row>
    <row r="11" spans="1:48" ht="16.5" customHeight="1">
      <c r="A11" s="89" t="s">
        <v>1229</v>
      </c>
      <c r="B11" s="493"/>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4" t="s">
        <v>2418</v>
      </c>
      <c r="C16" s="94" t="s">
        <v>5939</v>
      </c>
      <c r="D16" s="104" t="s">
        <v>1238</v>
      </c>
      <c r="G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v>-4</v>
      </c>
      <c r="C17" s="93">
        <f>POWER(2,B17)</f>
        <v>6.25E-2</v>
      </c>
      <c r="D17" s="108" t="s">
        <v>2419</v>
      </c>
      <c r="G17" s="18"/>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v>-3.5</v>
      </c>
      <c r="C18" s="93">
        <f t="shared" ref="C18:C33" si="0">POWER(2,B18)</f>
        <v>8.8388347648318447E-2</v>
      </c>
      <c r="G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v>-3</v>
      </c>
      <c r="C19" s="93">
        <f t="shared" si="0"/>
        <v>0.125</v>
      </c>
      <c r="G19" s="18"/>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v>-2.5</v>
      </c>
      <c r="C20" s="93">
        <f t="shared" si="0"/>
        <v>0.17677669529663687</v>
      </c>
      <c r="G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3">
        <v>-2</v>
      </c>
      <c r="C21" s="93">
        <f t="shared" si="0"/>
        <v>0.25</v>
      </c>
      <c r="G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v>-1.5</v>
      </c>
      <c r="C22" s="93">
        <f t="shared" si="0"/>
        <v>0.35355339059327379</v>
      </c>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3">
        <v>-1</v>
      </c>
      <c r="C23" s="93">
        <f t="shared" si="0"/>
        <v>0.5</v>
      </c>
      <c r="G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3">
        <v>-0.5</v>
      </c>
      <c r="C24" s="93">
        <f t="shared" si="0"/>
        <v>0.70710678118654746</v>
      </c>
      <c r="G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3">
        <v>0</v>
      </c>
      <c r="C25" s="93">
        <f t="shared" si="0"/>
        <v>1</v>
      </c>
      <c r="G25" s="18"/>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93">
        <v>0.5</v>
      </c>
      <c r="C26" s="93">
        <f t="shared" si="0"/>
        <v>1.4142135623730951</v>
      </c>
      <c r="G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3">
        <v>1</v>
      </c>
      <c r="C27" s="93">
        <f t="shared" si="0"/>
        <v>2</v>
      </c>
      <c r="G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3">
        <v>1.5</v>
      </c>
      <c r="C28" s="93">
        <f t="shared" si="0"/>
        <v>2.8284271247461898</v>
      </c>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93">
        <v>2</v>
      </c>
      <c r="C29" s="93">
        <f t="shared" si="0"/>
        <v>4</v>
      </c>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93">
        <v>2.5</v>
      </c>
      <c r="C30" s="93">
        <f t="shared" si="0"/>
        <v>5.6568542494923806</v>
      </c>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93">
        <v>3</v>
      </c>
      <c r="C31" s="93">
        <f t="shared" si="0"/>
        <v>8</v>
      </c>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93">
        <v>3.5</v>
      </c>
      <c r="C32" s="93">
        <f t="shared" si="0"/>
        <v>11.313708498984759</v>
      </c>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B33" s="93">
        <v>4</v>
      </c>
      <c r="C33" s="93">
        <f t="shared" si="0"/>
        <v>16</v>
      </c>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2:48" s="93" customFormat="1" ht="16.5" customHeight="1">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2:48" s="93" customFormat="1" ht="16.5" customHeight="1">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2:48" s="93" customFormat="1" ht="16.5" customHeight="1">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2:48" s="93" customFormat="1" ht="16.5" customHeight="1">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2:48" s="93" customFormat="1" ht="16.5" customHeight="1">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2:48" s="93" customFormat="1" ht="16.5" customHeight="1">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12:48" s="93" customFormat="1" ht="16.5" customHeight="1">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2:48" s="93" customFormat="1" ht="16.5" customHeight="1">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12:48" s="93" customFormat="1" ht="16.5" customHeight="1">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2:48" s="93" customFormat="1" ht="16.5" customHeight="1">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12:48" s="93" customFormat="1" ht="16.5" customHeight="1">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2:48" s="93" customFormat="1" ht="16.5" customHeight="1">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12:48" s="93" customFormat="1" ht="16.5" customHeight="1">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2:48" s="93" customFormat="1" ht="16.5" customHeight="1">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12:48" s="93" customFormat="1" ht="16.5" customHeight="1">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2:48" s="93" customFormat="1" ht="16.5" customHeight="1">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2:48" s="93" customFormat="1" ht="16.5" customHeight="1">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2:48" s="93" customFormat="1" ht="16.5" customHeight="1">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2:48" s="93" customFormat="1" ht="16.5" customHeight="1">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2:48" s="93" customFormat="1" ht="16.5" customHeight="1">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2:48" s="93" customFormat="1" ht="16.5" customHeight="1">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2:48" s="93" customFormat="1" ht="16.5" customHeight="1">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2:48" s="93" customFormat="1" ht="16.5" customHeight="1">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2:48" s="93" customFormat="1" ht="16.5" customHeight="1">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2:48" s="93" customFormat="1" ht="16.5" customHeight="1">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2:48" s="93" customFormat="1" ht="16.5" customHeight="1">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2:48" s="93" customFormat="1" ht="16.5" customHeight="1">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2:48" s="93" customFormat="1" ht="16.5" customHeight="1">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2:48" s="93" customFormat="1" ht="16.5" customHeight="1">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2:48" s="93" customFormat="1" ht="16.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2:48" s="93" customFormat="1" ht="16.5" customHeight="1">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2:48" s="93" customFormat="1" ht="16.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2:48" s="93" customFormat="1" ht="16.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2:48" s="93" customFormat="1" ht="16.5" customHeight="1">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2:48" s="93" customFormat="1" ht="16.5" customHeight="1">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2:48" s="93" customFormat="1" ht="16.5" customHeight="1">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2:48" s="93" customFormat="1" ht="16.5" customHeight="1">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2:48" s="93" customFormat="1" ht="16.5" customHeight="1">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2:48" s="93" customFormat="1" ht="16.5" customHeight="1">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2:48" s="93" customFormat="1" ht="16.5" customHeight="1">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2:48" s="93" customFormat="1" ht="16.5" customHeight="1">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2:48" s="93" customFormat="1" ht="16.5" customHeight="1">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2:48" s="93" customFormat="1" ht="16.5" customHeight="1">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6.5" customHeight="1">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6.5" customHeight="1">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6.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6.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s="93" customFormat="1" ht="16.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pans="1:48" s="93" customFormat="1" ht="16.5" customHeight="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row>
    <row r="99" spans="1:48" s="93" customFormat="1" ht="16.5" customHeight="1">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spans="1:48" s="88" customFormat="1" ht="26.25" customHeight="1">
      <c r="A100" s="498" t="s">
        <v>175</v>
      </c>
      <c r="B100" s="498"/>
      <c r="C100" s="499"/>
      <c r="D100" s="87"/>
      <c r="E100" s="500" t="str">
        <f>HYPERLINK("#目录!A101","跳转回到目录页")</f>
        <v>跳转回到目录页</v>
      </c>
      <c r="F100" s="501"/>
    </row>
    <row r="101" spans="1:48" s="88" customFormat="1" ht="26.25" customHeight="1">
      <c r="A101" s="502" t="s">
        <v>1216</v>
      </c>
      <c r="B101" s="502"/>
      <c r="C101" s="503" t="s">
        <v>176</v>
      </c>
      <c r="D101" s="503"/>
      <c r="E101" s="503"/>
      <c r="F101" s="503"/>
      <c r="G101" s="503"/>
      <c r="H101" s="503"/>
      <c r="I101" s="503"/>
      <c r="J101" s="503"/>
      <c r="K101" s="503"/>
      <c r="L101" s="503"/>
      <c r="M101" s="503"/>
    </row>
    <row r="102" spans="1:48" s="88" customFormat="1" ht="16.5" customHeight="1">
      <c r="A102" s="496" t="s">
        <v>1217</v>
      </c>
      <c r="B102" s="496"/>
      <c r="C102" s="493" t="s">
        <v>2420</v>
      </c>
      <c r="D102" s="493"/>
      <c r="E102" s="493"/>
      <c r="F102" s="493"/>
      <c r="G102" s="493"/>
      <c r="H102" s="493"/>
      <c r="I102" s="493"/>
      <c r="J102" s="493"/>
      <c r="K102" s="493"/>
      <c r="L102" s="493"/>
      <c r="M102" s="493"/>
    </row>
    <row r="103" spans="1:48" s="88" customFormat="1" ht="16.5" customHeight="1">
      <c r="A103" s="496" t="s">
        <v>5786</v>
      </c>
      <c r="B103" s="496"/>
      <c r="C103" s="497" t="s">
        <v>176</v>
      </c>
      <c r="D103" s="497"/>
      <c r="E103" s="497"/>
      <c r="F103" s="497"/>
      <c r="G103" s="497"/>
      <c r="H103" s="497"/>
      <c r="I103" s="497"/>
      <c r="J103" s="497"/>
      <c r="K103" s="497"/>
      <c r="L103" s="497"/>
      <c r="M103" s="497"/>
    </row>
    <row r="104" spans="1:48" s="88" customFormat="1" ht="16.5" customHeight="1">
      <c r="A104" s="496" t="s">
        <v>1220</v>
      </c>
      <c r="B104" s="496"/>
      <c r="C104" s="493" t="s">
        <v>2421</v>
      </c>
      <c r="D104" s="493"/>
      <c r="E104" s="493"/>
      <c r="F104" s="493"/>
      <c r="G104" s="493"/>
      <c r="H104" s="493"/>
      <c r="I104" s="493"/>
      <c r="J104" s="493"/>
      <c r="K104" s="493"/>
      <c r="L104" s="493"/>
      <c r="M104" s="493"/>
    </row>
    <row r="105" spans="1:48" s="88" customFormat="1" ht="16.5" customHeight="1">
      <c r="A105" s="496" t="s">
        <v>5785</v>
      </c>
      <c r="B105" s="496"/>
      <c r="C105" s="493" t="s">
        <v>2422</v>
      </c>
      <c r="D105" s="493"/>
      <c r="E105" s="493"/>
      <c r="F105" s="493"/>
      <c r="G105" s="493"/>
      <c r="H105" s="493"/>
      <c r="I105" s="493"/>
      <c r="J105" s="493"/>
      <c r="K105" s="493"/>
      <c r="L105" s="493"/>
      <c r="M105" s="493"/>
    </row>
    <row r="106" spans="1:48" s="88" customFormat="1" ht="16.5" customHeight="1">
      <c r="A106" s="89" t="s">
        <v>1223</v>
      </c>
      <c r="B106" s="92" t="s">
        <v>2200</v>
      </c>
      <c r="C106" s="493" t="s">
        <v>2423</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24.75" customHeight="1">
      <c r="A109" s="89" t="s">
        <v>1228</v>
      </c>
      <c r="B109" s="493" t="s">
        <v>2424</v>
      </c>
      <c r="C109" s="493"/>
      <c r="D109" s="493"/>
      <c r="E109" s="493"/>
      <c r="F109" s="493"/>
      <c r="G109" s="493"/>
      <c r="H109" s="493"/>
      <c r="I109" s="493"/>
      <c r="J109" s="493"/>
      <c r="K109" s="493"/>
      <c r="L109" s="493"/>
      <c r="M109" s="493"/>
    </row>
    <row r="110" spans="1:48" ht="16.5" customHeight="1">
      <c r="A110" s="89" t="s">
        <v>1229</v>
      </c>
      <c r="B110" s="493" t="s">
        <v>2425</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7" s="93" customFormat="1" ht="16.5" customHeight="1">
      <c r="A113" s="94" t="s">
        <v>1232</v>
      </c>
      <c r="B113" s="93" t="s">
        <v>1773</v>
      </c>
    </row>
    <row r="114" spans="1:7" ht="16.5" customHeight="1">
      <c r="A114" s="93"/>
      <c r="B114" s="93"/>
      <c r="C114" s="93"/>
      <c r="D114" s="93"/>
      <c r="E114" s="93"/>
      <c r="F114" s="93"/>
      <c r="G114" s="93"/>
    </row>
    <row r="115" spans="1:7" ht="16.5" customHeight="1">
      <c r="A115" s="93"/>
      <c r="B115" s="93"/>
      <c r="C115" s="93"/>
      <c r="D115" s="518" t="s">
        <v>2426</v>
      </c>
      <c r="E115" s="518"/>
      <c r="F115" s="518"/>
      <c r="G115" s="170"/>
    </row>
    <row r="116" spans="1:7" ht="16.5" customHeight="1">
      <c r="A116" s="93"/>
      <c r="B116" s="93"/>
      <c r="C116" s="93"/>
      <c r="D116" s="95" t="s">
        <v>2427</v>
      </c>
      <c r="E116" s="504" t="s">
        <v>2428</v>
      </c>
      <c r="F116" s="505"/>
      <c r="G116" s="104" t="s">
        <v>1238</v>
      </c>
    </row>
    <row r="117" spans="1:7" ht="16.5" customHeight="1">
      <c r="A117" s="93"/>
      <c r="B117" s="93"/>
      <c r="C117" s="93"/>
      <c r="D117" s="111">
        <v>1</v>
      </c>
      <c r="E117" s="614">
        <f>EXP(D117)</f>
        <v>2.7182818284590451</v>
      </c>
      <c r="F117" s="615"/>
      <c r="G117" s="108" t="s">
        <v>2429</v>
      </c>
    </row>
    <row r="118" spans="1:7" ht="16.5" customHeight="1">
      <c r="A118" s="93"/>
      <c r="B118" s="93"/>
      <c r="C118" s="93"/>
      <c r="D118" s="111">
        <v>0</v>
      </c>
      <c r="E118" s="614">
        <f>EXP(D118)</f>
        <v>1</v>
      </c>
      <c r="F118" s="615"/>
      <c r="G118" s="93"/>
    </row>
    <row r="119" spans="1:7" ht="16.5" customHeight="1">
      <c r="A119" s="93"/>
      <c r="B119" s="93"/>
      <c r="C119" s="93"/>
      <c r="D119" s="111">
        <v>-1</v>
      </c>
      <c r="E119" s="614">
        <f>EXP(D119)</f>
        <v>0.36787944117144233</v>
      </c>
      <c r="F119" s="615"/>
      <c r="G119" s="93"/>
    </row>
    <row r="120" spans="1:7" ht="16.5" customHeight="1">
      <c r="A120" s="93"/>
      <c r="B120" s="93"/>
      <c r="C120" s="93"/>
      <c r="D120" s="111">
        <v>0.5</v>
      </c>
      <c r="E120" s="614">
        <f>EXP(D120)</f>
        <v>1.6487212707001282</v>
      </c>
      <c r="F120" s="615"/>
      <c r="G120" s="93"/>
    </row>
    <row r="121" spans="1:7" ht="16.5" customHeight="1">
      <c r="A121" s="93"/>
      <c r="B121" s="93"/>
      <c r="C121" s="93"/>
      <c r="D121" s="151">
        <v>-1</v>
      </c>
      <c r="E121" s="616">
        <f>EXP(D121)</f>
        <v>0.36787944117144233</v>
      </c>
      <c r="F121" s="617"/>
      <c r="G121" s="170"/>
    </row>
    <row r="122" spans="1:7" ht="16.5" customHeight="1">
      <c r="A122" s="93"/>
      <c r="B122" s="93"/>
      <c r="C122" s="93"/>
      <c r="D122" s="93"/>
      <c r="E122" s="93"/>
      <c r="F122" s="93"/>
      <c r="G122" s="161"/>
    </row>
    <row r="123" spans="1:7" ht="16.5" customHeight="1">
      <c r="A123" s="93"/>
      <c r="B123" s="93"/>
      <c r="C123" s="93"/>
      <c r="D123" s="93"/>
      <c r="E123" s="93"/>
      <c r="F123" s="93"/>
      <c r="G123" s="161"/>
    </row>
    <row r="124" spans="1:7" ht="16.5" customHeight="1">
      <c r="A124" s="93"/>
      <c r="B124" s="93"/>
      <c r="C124" s="93"/>
      <c r="D124" s="93"/>
      <c r="E124" s="93"/>
      <c r="F124" s="93"/>
      <c r="G124" s="161"/>
    </row>
    <row r="125" spans="1:7" ht="16.5" customHeight="1">
      <c r="A125" s="93"/>
      <c r="B125" s="93"/>
      <c r="C125" s="93"/>
      <c r="D125" s="93"/>
      <c r="E125" s="93"/>
      <c r="F125" s="93"/>
      <c r="G125" s="161"/>
    </row>
    <row r="126" spans="1:7" ht="16.5" customHeight="1">
      <c r="A126" s="93"/>
      <c r="B126" s="93"/>
      <c r="C126" s="93"/>
      <c r="D126" s="93"/>
      <c r="E126" s="93"/>
      <c r="F126" s="93"/>
      <c r="G126" s="161"/>
    </row>
    <row r="127" spans="1:7" ht="16.5" customHeight="1">
      <c r="A127" s="93"/>
      <c r="B127" s="93"/>
      <c r="C127" s="93"/>
      <c r="D127" s="93"/>
      <c r="E127" s="93"/>
      <c r="F127" s="93"/>
      <c r="G127" s="161"/>
    </row>
    <row r="128" spans="1:7" ht="16.5" customHeight="1">
      <c r="A128" s="93"/>
      <c r="B128" s="93"/>
      <c r="C128" s="93"/>
      <c r="D128" s="93"/>
      <c r="E128" s="93"/>
      <c r="F128" s="93"/>
      <c r="G128" s="161"/>
    </row>
    <row r="129" spans="1:7" ht="16.5" customHeight="1">
      <c r="A129" s="93"/>
      <c r="B129" s="93"/>
      <c r="C129" s="93"/>
      <c r="D129" s="93"/>
      <c r="E129" s="93"/>
      <c r="F129" s="93"/>
      <c r="G129" s="161"/>
    </row>
    <row r="130" spans="1:7" ht="16.5" customHeight="1">
      <c r="A130" s="93"/>
      <c r="B130" s="93"/>
      <c r="C130" s="93"/>
      <c r="D130" s="93"/>
      <c r="E130" s="93"/>
      <c r="F130" s="93"/>
      <c r="G130" s="161"/>
    </row>
    <row r="131" spans="1:7" ht="16.5" customHeight="1">
      <c r="A131" s="93"/>
      <c r="B131" s="93"/>
      <c r="C131" s="93"/>
      <c r="D131" s="93"/>
      <c r="E131" s="93"/>
      <c r="F131" s="93"/>
      <c r="G131" s="161"/>
    </row>
    <row r="132" spans="1:7" ht="16.5" customHeight="1">
      <c r="A132" s="93"/>
      <c r="B132" s="93"/>
      <c r="C132" s="93"/>
      <c r="D132" s="93"/>
      <c r="E132" s="93"/>
      <c r="F132" s="93"/>
      <c r="G132" s="161"/>
    </row>
    <row r="133" spans="1:7" ht="16.5" customHeight="1">
      <c r="A133" s="93"/>
      <c r="B133" s="93"/>
      <c r="C133" s="93"/>
      <c r="D133" s="93"/>
      <c r="E133" s="93"/>
      <c r="F133" s="93"/>
      <c r="G133" s="161"/>
    </row>
    <row r="134" spans="1:7" ht="16.5" customHeight="1">
      <c r="A134" s="93"/>
      <c r="B134" s="93"/>
      <c r="C134" s="93"/>
      <c r="D134" s="93"/>
      <c r="E134" s="93"/>
      <c r="F134" s="93"/>
      <c r="G134" s="161"/>
    </row>
    <row r="135" spans="1:7" ht="16.5" customHeight="1">
      <c r="A135" s="93"/>
      <c r="B135" s="93"/>
      <c r="C135" s="93"/>
      <c r="D135" s="93"/>
      <c r="E135" s="93"/>
      <c r="F135" s="93"/>
      <c r="G135" s="161"/>
    </row>
    <row r="136" spans="1:7" ht="16.5" customHeight="1">
      <c r="A136" s="93"/>
      <c r="B136" s="93"/>
      <c r="C136" s="93"/>
      <c r="D136" s="93"/>
      <c r="E136" s="93"/>
      <c r="F136" s="93"/>
      <c r="G136" s="161"/>
    </row>
    <row r="137" spans="1:7" ht="16.5" customHeight="1">
      <c r="A137" s="93"/>
      <c r="B137" s="93"/>
      <c r="C137" s="93"/>
      <c r="D137" s="93"/>
      <c r="E137" s="93"/>
      <c r="F137" s="93"/>
      <c r="G137" s="161"/>
    </row>
    <row r="138" spans="1:7" ht="16.5" customHeight="1">
      <c r="A138" s="93"/>
      <c r="B138" s="93"/>
      <c r="C138" s="93"/>
      <c r="D138" s="93"/>
      <c r="E138" s="93"/>
      <c r="F138" s="93"/>
      <c r="G138" s="161"/>
    </row>
    <row r="139" spans="1:7" ht="16.5" customHeight="1">
      <c r="A139" s="93"/>
      <c r="B139" s="93"/>
      <c r="C139" s="93"/>
      <c r="D139" s="93"/>
      <c r="E139" s="93"/>
      <c r="F139" s="93"/>
      <c r="G139" s="161"/>
    </row>
    <row r="140" spans="1:7" ht="16.5" customHeight="1">
      <c r="A140" s="93"/>
      <c r="B140" s="93"/>
      <c r="C140" s="93"/>
      <c r="D140" s="93"/>
      <c r="E140" s="93"/>
      <c r="F140" s="93"/>
      <c r="G140" s="161"/>
    </row>
    <row r="141" spans="1:7" ht="16.5" customHeight="1">
      <c r="A141" s="93"/>
      <c r="B141" s="93"/>
      <c r="C141" s="93"/>
      <c r="D141" s="93"/>
      <c r="E141" s="93"/>
      <c r="F141" s="93"/>
      <c r="G141" s="161"/>
    </row>
    <row r="142" spans="1:7" ht="16.5" customHeight="1">
      <c r="A142" s="93"/>
      <c r="B142" s="93"/>
      <c r="C142" s="93"/>
      <c r="D142" s="93"/>
      <c r="E142" s="93"/>
      <c r="F142" s="93"/>
      <c r="G142" s="161"/>
    </row>
    <row r="143" spans="1:7" ht="16.5" customHeight="1">
      <c r="A143" s="93"/>
      <c r="B143" s="93"/>
      <c r="C143" s="93"/>
      <c r="D143" s="93"/>
      <c r="E143" s="93"/>
      <c r="F143" s="93"/>
      <c r="G143" s="161"/>
    </row>
    <row r="144" spans="1:7" ht="16.5" customHeight="1">
      <c r="A144" s="93"/>
      <c r="B144" s="93"/>
      <c r="C144" s="93"/>
      <c r="D144" s="93"/>
      <c r="E144" s="93"/>
      <c r="F144" s="93"/>
      <c r="G144" s="161"/>
    </row>
    <row r="145" spans="1:7" ht="16.5" customHeight="1">
      <c r="A145" s="93"/>
      <c r="B145" s="93"/>
      <c r="C145" s="93"/>
      <c r="D145" s="93"/>
      <c r="E145" s="93"/>
      <c r="F145" s="93"/>
      <c r="G145" s="161"/>
    </row>
    <row r="146" spans="1:7" ht="16.5" customHeight="1">
      <c r="A146" s="93"/>
      <c r="B146" s="93"/>
      <c r="C146" s="93"/>
      <c r="D146" s="93"/>
      <c r="E146" s="93"/>
      <c r="F146" s="93"/>
      <c r="G146" s="161"/>
    </row>
    <row r="147" spans="1:7" ht="16.5" customHeight="1">
      <c r="A147" s="93"/>
      <c r="B147" s="93"/>
      <c r="C147" s="93"/>
      <c r="D147" s="93"/>
      <c r="E147" s="93"/>
      <c r="F147" s="93"/>
      <c r="G147" s="161"/>
    </row>
    <row r="148" spans="1:7" ht="16.5" customHeight="1">
      <c r="A148" s="93"/>
      <c r="B148" s="93"/>
      <c r="C148" s="93"/>
      <c r="D148" s="93"/>
      <c r="E148" s="93"/>
      <c r="F148" s="93"/>
      <c r="G148" s="161"/>
    </row>
    <row r="149" spans="1:7" ht="16.5" customHeight="1">
      <c r="A149" s="93"/>
      <c r="B149" s="93"/>
      <c r="C149" s="93"/>
      <c r="D149" s="93"/>
      <c r="E149" s="93"/>
      <c r="F149" s="93"/>
      <c r="G149" s="161"/>
    </row>
    <row r="150" spans="1:7" ht="16.5" customHeight="1">
      <c r="A150" s="93"/>
      <c r="B150" s="93"/>
      <c r="C150" s="93"/>
      <c r="D150" s="93"/>
      <c r="E150" s="93"/>
      <c r="F150" s="93"/>
      <c r="G150" s="161"/>
    </row>
    <row r="151" spans="1:7" ht="16.5" customHeight="1">
      <c r="A151" s="93"/>
      <c r="B151" s="93"/>
      <c r="C151" s="93"/>
      <c r="D151" s="93"/>
      <c r="E151" s="93"/>
      <c r="F151" s="93"/>
      <c r="G151" s="161"/>
    </row>
    <row r="152" spans="1:7" ht="16.5" customHeight="1">
      <c r="A152" s="93"/>
      <c r="B152" s="93"/>
      <c r="C152" s="93"/>
      <c r="D152" s="93"/>
      <c r="E152" s="93"/>
      <c r="F152" s="93"/>
      <c r="G152" s="161"/>
    </row>
    <row r="153" spans="1:7" ht="16.5" customHeight="1">
      <c r="A153" s="93"/>
      <c r="B153" s="93"/>
      <c r="C153" s="93"/>
      <c r="D153" s="93"/>
      <c r="E153" s="93"/>
      <c r="F153" s="93"/>
      <c r="G153" s="161"/>
    </row>
    <row r="154" spans="1:7" ht="16.5" customHeight="1">
      <c r="A154" s="93"/>
      <c r="B154" s="93"/>
      <c r="C154" s="93"/>
      <c r="D154" s="93"/>
      <c r="E154" s="93"/>
      <c r="F154" s="93"/>
      <c r="G154" s="161"/>
    </row>
    <row r="155" spans="1:7" ht="16.5" customHeight="1">
      <c r="A155" s="93"/>
      <c r="B155" s="93"/>
      <c r="C155" s="93"/>
      <c r="D155" s="93"/>
      <c r="E155" s="93"/>
      <c r="F155" s="93"/>
      <c r="G155" s="161"/>
    </row>
    <row r="156" spans="1:7" ht="16.5" customHeight="1">
      <c r="A156" s="93"/>
      <c r="B156" s="93"/>
      <c r="C156" s="93"/>
      <c r="D156" s="93"/>
      <c r="E156" s="93"/>
      <c r="F156" s="93"/>
      <c r="G156" s="161"/>
    </row>
    <row r="157" spans="1:7" ht="16.5" customHeight="1">
      <c r="A157" s="93"/>
      <c r="B157" s="93"/>
      <c r="C157" s="93"/>
      <c r="D157" s="93"/>
      <c r="E157" s="93"/>
      <c r="F157" s="93"/>
      <c r="G157" s="161"/>
    </row>
    <row r="158" spans="1:7" ht="16.5" customHeight="1">
      <c r="A158" s="93"/>
      <c r="B158" s="93"/>
      <c r="C158" s="93"/>
      <c r="D158" s="93"/>
      <c r="E158" s="93"/>
      <c r="F158" s="93"/>
      <c r="G158" s="161"/>
    </row>
    <row r="159" spans="1:7" ht="16.5" customHeight="1">
      <c r="A159" s="93"/>
      <c r="B159" s="93"/>
      <c r="C159" s="93"/>
      <c r="D159" s="93"/>
      <c r="E159" s="93"/>
      <c r="F159" s="93"/>
      <c r="G159" s="161"/>
    </row>
    <row r="160" spans="1:7" ht="16.5" customHeight="1">
      <c r="A160" s="93"/>
      <c r="B160" s="93"/>
      <c r="C160" s="93"/>
      <c r="D160" s="93"/>
      <c r="E160" s="93"/>
      <c r="F160" s="93"/>
      <c r="G160" s="161"/>
    </row>
    <row r="161" spans="1:7" ht="16.5" customHeight="1">
      <c r="A161" s="93"/>
      <c r="B161" s="93"/>
      <c r="C161" s="93"/>
      <c r="D161" s="93"/>
      <c r="E161" s="93"/>
      <c r="F161" s="93"/>
      <c r="G161" s="161"/>
    </row>
    <row r="162" spans="1:7" ht="16.5" customHeight="1">
      <c r="A162" s="93"/>
      <c r="B162" s="93"/>
      <c r="C162" s="93"/>
      <c r="D162" s="93"/>
      <c r="E162" s="93"/>
      <c r="F162" s="93"/>
      <c r="G162" s="161"/>
    </row>
    <row r="163" spans="1:7" ht="16.5" customHeight="1">
      <c r="A163" s="93"/>
      <c r="B163" s="93"/>
      <c r="C163" s="93"/>
      <c r="D163" s="93"/>
      <c r="E163" s="93"/>
      <c r="F163" s="93"/>
      <c r="G163" s="161"/>
    </row>
    <row r="164" spans="1:7" ht="16.5" customHeight="1">
      <c r="A164" s="93"/>
      <c r="B164" s="93"/>
      <c r="C164" s="93"/>
      <c r="D164" s="93"/>
      <c r="E164" s="93"/>
      <c r="F164" s="93"/>
      <c r="G164" s="161"/>
    </row>
    <row r="165" spans="1:7" ht="16.5" customHeight="1">
      <c r="A165" s="93"/>
      <c r="B165" s="93"/>
      <c r="C165" s="93"/>
      <c r="D165" s="93"/>
      <c r="E165" s="93"/>
      <c r="F165" s="93"/>
      <c r="G165" s="161"/>
    </row>
    <row r="166" spans="1:7" ht="16.5" customHeight="1">
      <c r="A166" s="93"/>
      <c r="B166" s="93"/>
      <c r="C166" s="93"/>
      <c r="D166" s="93"/>
      <c r="E166" s="93"/>
      <c r="F166" s="93"/>
      <c r="G166" s="161"/>
    </row>
    <row r="167" spans="1:7" ht="16.5" customHeight="1">
      <c r="A167" s="93"/>
      <c r="B167" s="93"/>
      <c r="C167" s="93"/>
      <c r="D167" s="93"/>
      <c r="E167" s="93"/>
      <c r="F167" s="93"/>
      <c r="G167" s="161"/>
    </row>
    <row r="168" spans="1:7" ht="16.5" customHeight="1">
      <c r="A168" s="93"/>
      <c r="B168" s="93"/>
      <c r="C168" s="93"/>
      <c r="D168" s="93"/>
      <c r="E168" s="93"/>
      <c r="F168" s="93"/>
      <c r="G168" s="161"/>
    </row>
    <row r="169" spans="1:7" ht="16.5" customHeight="1">
      <c r="A169" s="93"/>
      <c r="B169" s="93"/>
      <c r="C169" s="93"/>
      <c r="D169" s="93"/>
      <c r="E169" s="93"/>
      <c r="F169" s="93"/>
      <c r="G169" s="161"/>
    </row>
    <row r="170" spans="1:7" ht="16.5" customHeight="1">
      <c r="A170" s="93"/>
      <c r="B170" s="93"/>
      <c r="C170" s="93"/>
      <c r="D170" s="93"/>
      <c r="E170" s="93"/>
      <c r="F170" s="93"/>
      <c r="G170" s="161"/>
    </row>
    <row r="171" spans="1:7" ht="16.5" customHeight="1">
      <c r="A171" s="93"/>
      <c r="B171" s="93"/>
      <c r="C171" s="93"/>
      <c r="D171" s="93"/>
      <c r="E171" s="93"/>
      <c r="F171" s="93"/>
      <c r="G171" s="161"/>
    </row>
    <row r="172" spans="1:7" ht="16.5" customHeight="1">
      <c r="A172" s="93"/>
      <c r="B172" s="93"/>
      <c r="C172" s="93"/>
      <c r="D172" s="93"/>
      <c r="E172" s="93"/>
      <c r="F172" s="93"/>
      <c r="G172" s="161"/>
    </row>
    <row r="173" spans="1:7" ht="16.5" customHeight="1">
      <c r="A173" s="93"/>
      <c r="B173" s="93"/>
      <c r="C173" s="93"/>
      <c r="D173" s="93"/>
      <c r="E173" s="93"/>
      <c r="F173" s="93"/>
      <c r="G173" s="161"/>
    </row>
    <row r="174" spans="1:7" ht="16.5" customHeight="1">
      <c r="A174" s="93"/>
      <c r="B174" s="93"/>
      <c r="C174" s="93"/>
      <c r="D174" s="93"/>
      <c r="E174" s="93"/>
      <c r="F174" s="93"/>
      <c r="G174" s="161"/>
    </row>
    <row r="175" spans="1:7" ht="16.5" customHeight="1">
      <c r="A175" s="93"/>
      <c r="B175" s="93"/>
      <c r="C175" s="93"/>
      <c r="D175" s="93"/>
      <c r="E175" s="93"/>
      <c r="F175" s="93"/>
      <c r="G175" s="161"/>
    </row>
    <row r="176" spans="1:7" ht="16.5" customHeight="1">
      <c r="A176" s="93"/>
      <c r="B176" s="93"/>
      <c r="C176" s="93"/>
      <c r="D176" s="93"/>
      <c r="E176" s="93"/>
      <c r="F176" s="93"/>
      <c r="G176" s="161"/>
    </row>
    <row r="177" spans="7:7">
      <c r="G177" s="189"/>
    </row>
    <row r="178" spans="7:7">
      <c r="G178" s="189"/>
    </row>
    <row r="200" spans="1:13" s="88" customFormat="1" ht="26.25" customHeight="1">
      <c r="A200" s="498" t="s">
        <v>179</v>
      </c>
      <c r="B200" s="498"/>
      <c r="C200" s="499"/>
      <c r="D200" s="87"/>
      <c r="E200" s="500" t="str">
        <f>HYPERLINK("#目录!A103","跳转回到目录页")</f>
        <v>跳转回到目录页</v>
      </c>
      <c r="F200" s="501"/>
    </row>
    <row r="201" spans="1:13" s="88" customFormat="1" ht="26.25" customHeight="1">
      <c r="A201" s="502" t="s">
        <v>1216</v>
      </c>
      <c r="B201" s="502"/>
      <c r="C201" s="503" t="s">
        <v>180</v>
      </c>
      <c r="D201" s="503"/>
      <c r="E201" s="503"/>
      <c r="F201" s="503"/>
      <c r="G201" s="503"/>
      <c r="H201" s="503"/>
      <c r="I201" s="503"/>
      <c r="J201" s="503"/>
      <c r="K201" s="503"/>
      <c r="L201" s="503"/>
      <c r="M201" s="503"/>
    </row>
    <row r="202" spans="1:13" s="88" customFormat="1" ht="16.5" customHeight="1">
      <c r="A202" s="496" t="s">
        <v>1217</v>
      </c>
      <c r="B202" s="496"/>
      <c r="C202" s="493" t="s">
        <v>2430</v>
      </c>
      <c r="D202" s="493"/>
      <c r="E202" s="493"/>
      <c r="F202" s="493"/>
      <c r="G202" s="493"/>
      <c r="H202" s="493"/>
      <c r="I202" s="493"/>
      <c r="J202" s="493"/>
      <c r="K202" s="493"/>
      <c r="L202" s="493"/>
      <c r="M202" s="493"/>
    </row>
    <row r="203" spans="1:13" s="88" customFormat="1" ht="16.5" customHeight="1">
      <c r="A203" s="496" t="s">
        <v>5786</v>
      </c>
      <c r="B203" s="496"/>
      <c r="C203" s="493" t="s">
        <v>2430</v>
      </c>
      <c r="D203" s="493"/>
      <c r="E203" s="493"/>
      <c r="F203" s="493"/>
      <c r="G203" s="493"/>
      <c r="H203" s="493"/>
      <c r="I203" s="493"/>
      <c r="J203" s="493"/>
      <c r="K203" s="493"/>
      <c r="L203" s="493"/>
      <c r="M203" s="493"/>
    </row>
    <row r="204" spans="1:13" s="88" customFormat="1" ht="16.5" customHeight="1">
      <c r="A204" s="496" t="s">
        <v>1220</v>
      </c>
      <c r="B204" s="496"/>
      <c r="C204" s="493" t="s">
        <v>2431</v>
      </c>
      <c r="D204" s="493"/>
      <c r="E204" s="493"/>
      <c r="F204" s="493"/>
      <c r="G204" s="493"/>
      <c r="H204" s="493"/>
      <c r="I204" s="493"/>
      <c r="J204" s="493"/>
      <c r="K204" s="493"/>
      <c r="L204" s="493"/>
      <c r="M204" s="493"/>
    </row>
    <row r="205" spans="1:13" s="88" customFormat="1" ht="16.5" customHeight="1">
      <c r="A205" s="496" t="s">
        <v>5785</v>
      </c>
      <c r="B205" s="496"/>
      <c r="C205" s="493" t="s">
        <v>2432</v>
      </c>
      <c r="D205" s="493"/>
      <c r="E205" s="493"/>
      <c r="F205" s="493"/>
      <c r="G205" s="493"/>
      <c r="H205" s="493"/>
      <c r="I205" s="493"/>
      <c r="J205" s="493"/>
      <c r="K205" s="493"/>
      <c r="L205" s="493"/>
      <c r="M205" s="493"/>
    </row>
    <row r="206" spans="1:13" s="88" customFormat="1" ht="16.5" customHeight="1">
      <c r="A206" s="89" t="s">
        <v>1223</v>
      </c>
      <c r="B206" s="92" t="s">
        <v>2200</v>
      </c>
      <c r="C206" s="493" t="s">
        <v>2433</v>
      </c>
      <c r="D206" s="493"/>
      <c r="E206" s="493"/>
      <c r="F206" s="493"/>
      <c r="G206" s="493"/>
      <c r="H206" s="493"/>
      <c r="I206" s="493"/>
      <c r="J206" s="493"/>
      <c r="K206" s="493"/>
      <c r="L206" s="493"/>
      <c r="M206" s="493"/>
    </row>
    <row r="207" spans="1:13" s="88" customFormat="1" ht="16.5" customHeight="1">
      <c r="A207" s="89"/>
      <c r="B207" s="92" t="s">
        <v>2434</v>
      </c>
      <c r="C207" s="493" t="s">
        <v>2435</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24" customHeight="1">
      <c r="A210" s="89" t="s">
        <v>1229</v>
      </c>
      <c r="B210" s="493" t="s">
        <v>2436</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c r="B215" s="93" t="s">
        <v>2437</v>
      </c>
      <c r="C215" s="93"/>
      <c r="D215" s="93"/>
      <c r="E215" s="93"/>
      <c r="F215" s="93"/>
      <c r="G215" s="93"/>
      <c r="H215" s="93"/>
      <c r="I215" s="93"/>
      <c r="J215" s="93"/>
    </row>
    <row r="216" spans="1:13" ht="16.5" customHeight="1">
      <c r="B216" s="95" t="s">
        <v>2418</v>
      </c>
      <c r="C216" s="97" t="s">
        <v>5940</v>
      </c>
      <c r="D216" s="104" t="s">
        <v>1238</v>
      </c>
      <c r="E216" s="93"/>
      <c r="F216" s="93"/>
      <c r="G216" s="93"/>
      <c r="H216" s="170"/>
      <c r="I216" s="93"/>
      <c r="J216" s="93"/>
    </row>
    <row r="217" spans="1:13" ht="16.5" customHeight="1">
      <c r="B217" s="99">
        <v>0.1</v>
      </c>
      <c r="C217" s="101">
        <f>LOG(B217,2)</f>
        <v>-3.3219280948873622</v>
      </c>
      <c r="D217" s="108" t="s">
        <v>2438</v>
      </c>
      <c r="E217" s="93"/>
      <c r="F217" s="93"/>
      <c r="G217" s="93"/>
      <c r="H217" s="93"/>
      <c r="I217" s="93"/>
      <c r="J217" s="93"/>
    </row>
    <row r="218" spans="1:13" ht="16.5" customHeight="1">
      <c r="B218" s="99">
        <v>0.3</v>
      </c>
      <c r="C218" s="101">
        <f t="shared" ref="C218:C231" si="1">LOG(B218,2)</f>
        <v>-1.7369655941662063</v>
      </c>
      <c r="D218" s="93"/>
      <c r="E218" s="93"/>
      <c r="F218" s="93"/>
      <c r="G218" s="93"/>
      <c r="H218" s="170"/>
      <c r="I218" s="93"/>
      <c r="J218" s="93"/>
    </row>
    <row r="219" spans="1:13" ht="16.5" customHeight="1">
      <c r="B219" s="99">
        <v>0.5</v>
      </c>
      <c r="C219" s="101">
        <f t="shared" si="1"/>
        <v>-1</v>
      </c>
      <c r="D219" s="93"/>
      <c r="E219" s="93"/>
      <c r="F219" s="93"/>
      <c r="G219" s="93"/>
      <c r="H219" s="93"/>
      <c r="I219" s="93"/>
      <c r="J219" s="93"/>
    </row>
    <row r="220" spans="1:13" ht="16.5" customHeight="1">
      <c r="B220" s="99">
        <v>0.7</v>
      </c>
      <c r="C220" s="101">
        <f t="shared" si="1"/>
        <v>-0.51457317282975834</v>
      </c>
      <c r="D220" s="93"/>
      <c r="E220" s="93"/>
      <c r="F220" s="93"/>
      <c r="G220" s="93"/>
      <c r="H220" s="93"/>
      <c r="I220" s="93"/>
      <c r="J220" s="93"/>
    </row>
    <row r="221" spans="1:13" ht="16.5" customHeight="1">
      <c r="B221" s="99">
        <v>0.9</v>
      </c>
      <c r="C221" s="101">
        <f t="shared" si="1"/>
        <v>-0.15200309344504997</v>
      </c>
      <c r="D221" s="93"/>
      <c r="E221" s="93"/>
      <c r="F221" s="93"/>
      <c r="G221" s="93"/>
      <c r="H221" s="93"/>
      <c r="I221" s="93"/>
      <c r="J221" s="93"/>
    </row>
    <row r="222" spans="1:13" ht="16.5" customHeight="1">
      <c r="B222" s="99">
        <v>1.1000000000000001</v>
      </c>
      <c r="C222" s="101">
        <f t="shared" si="1"/>
        <v>0.13750352374993502</v>
      </c>
      <c r="D222" s="93"/>
      <c r="E222" s="93"/>
      <c r="F222" s="93"/>
      <c r="G222" s="93"/>
      <c r="H222" s="93"/>
      <c r="I222" s="93"/>
      <c r="J222" s="93"/>
    </row>
    <row r="223" spans="1:13" ht="16.5" customHeight="1">
      <c r="B223" s="99">
        <v>1.4</v>
      </c>
      <c r="C223" s="101">
        <f t="shared" si="1"/>
        <v>0.48542682717024171</v>
      </c>
      <c r="D223" s="93"/>
      <c r="E223" s="93"/>
      <c r="F223" s="93"/>
      <c r="G223" s="93"/>
      <c r="H223" s="93"/>
      <c r="I223" s="93"/>
      <c r="J223" s="93"/>
    </row>
    <row r="224" spans="1:13" ht="16.5" customHeight="1">
      <c r="B224" s="99">
        <v>1.7</v>
      </c>
      <c r="C224" s="101">
        <f t="shared" si="1"/>
        <v>0.76553474636297703</v>
      </c>
      <c r="D224" s="93"/>
      <c r="E224" s="93"/>
      <c r="F224" s="93"/>
      <c r="G224" s="93"/>
      <c r="H224" s="93"/>
      <c r="I224" s="93"/>
      <c r="J224" s="93"/>
    </row>
    <row r="225" spans="2:10" ht="16.5" customHeight="1">
      <c r="B225" s="99">
        <v>2</v>
      </c>
      <c r="C225" s="101">
        <f t="shared" si="1"/>
        <v>1</v>
      </c>
      <c r="D225" s="93"/>
      <c r="E225" s="93"/>
      <c r="F225" s="93"/>
      <c r="G225" s="93"/>
      <c r="H225" s="93"/>
      <c r="I225" s="93"/>
      <c r="J225" s="93"/>
    </row>
    <row r="226" spans="2:10" ht="16.5" customHeight="1">
      <c r="B226" s="99">
        <v>2.2999999999999998</v>
      </c>
      <c r="C226" s="101">
        <f t="shared" si="1"/>
        <v>1.2016338611696504</v>
      </c>
      <c r="D226" s="93"/>
      <c r="E226" s="93"/>
      <c r="F226" s="93"/>
      <c r="G226" s="93"/>
      <c r="H226" s="93"/>
      <c r="I226" s="93"/>
      <c r="J226" s="93"/>
    </row>
    <row r="227" spans="2:10" ht="16.5" customHeight="1">
      <c r="B227" s="99">
        <v>2.6</v>
      </c>
      <c r="C227" s="101">
        <f t="shared" si="1"/>
        <v>1.3785116232537298</v>
      </c>
      <c r="D227" s="93"/>
      <c r="E227" s="93"/>
      <c r="F227" s="93"/>
      <c r="G227" s="93"/>
      <c r="H227" s="93"/>
      <c r="I227" s="93"/>
      <c r="J227" s="93"/>
    </row>
    <row r="228" spans="2:10" ht="16.5" customHeight="1">
      <c r="B228" s="99">
        <v>2.9</v>
      </c>
      <c r="C228" s="101">
        <f t="shared" si="1"/>
        <v>1.5360529002402097</v>
      </c>
      <c r="D228" s="93"/>
      <c r="E228" s="93"/>
      <c r="F228" s="93"/>
      <c r="G228" s="93"/>
      <c r="H228" s="93"/>
      <c r="I228" s="93"/>
      <c r="J228" s="93"/>
    </row>
    <row r="229" spans="2:10" ht="16.5" customHeight="1">
      <c r="B229" s="99">
        <v>3.2</v>
      </c>
      <c r="C229" s="101">
        <f t="shared" si="1"/>
        <v>1.6780719051126378</v>
      </c>
      <c r="D229" s="93"/>
      <c r="E229" s="93"/>
      <c r="F229" s="93"/>
      <c r="G229" s="93"/>
      <c r="H229" s="93"/>
      <c r="I229" s="93"/>
      <c r="J229" s="93"/>
    </row>
    <row r="230" spans="2:10" ht="16.5" customHeight="1">
      <c r="B230" s="99">
        <v>3.6</v>
      </c>
      <c r="C230" s="101">
        <f t="shared" si="1"/>
        <v>1.84799690655495</v>
      </c>
      <c r="D230" s="93"/>
      <c r="E230" s="93"/>
      <c r="F230" s="93"/>
      <c r="G230" s="93"/>
      <c r="H230" s="93"/>
      <c r="I230" s="93"/>
      <c r="J230" s="93"/>
    </row>
    <row r="231" spans="2:10" ht="16.5" customHeight="1">
      <c r="B231" s="105">
        <v>4</v>
      </c>
      <c r="C231" s="107">
        <f t="shared" si="1"/>
        <v>2</v>
      </c>
      <c r="D231" s="93"/>
      <c r="E231" s="93"/>
      <c r="F231" s="93"/>
      <c r="G231" s="93"/>
      <c r="H231" s="93"/>
      <c r="I231" s="93"/>
      <c r="J231" s="93"/>
    </row>
    <row r="232" spans="2:10" ht="16.5" customHeight="1"/>
    <row r="233" spans="2:10" ht="16.5" customHeight="1"/>
    <row r="234" spans="2:10" ht="16.5" customHeight="1"/>
    <row r="235" spans="2:10" ht="16.5" customHeight="1"/>
    <row r="236" spans="2:10" ht="16.5" customHeight="1"/>
    <row r="237" spans="2:10" ht="16.5" customHeight="1"/>
    <row r="238" spans="2:10" ht="16.5" customHeight="1"/>
    <row r="239" spans="2:10" ht="16.5" customHeight="1"/>
    <row r="240" spans="2:10" ht="16.5" customHeight="1"/>
    <row r="241" s="4" customFormat="1" ht="16.5" customHeight="1"/>
    <row r="242" s="4" customFormat="1" ht="16.5" customHeight="1"/>
    <row r="243" s="4" customFormat="1" ht="16.5" customHeight="1"/>
    <row r="244" s="4" customFormat="1" ht="16.5" customHeight="1"/>
    <row r="245" s="4" customFormat="1" ht="16.5" customHeight="1"/>
    <row r="246" s="4" customFormat="1" ht="16.5" customHeight="1"/>
    <row r="247" s="4" customFormat="1" ht="16.5" customHeight="1"/>
    <row r="248" s="4" customFormat="1" ht="16.5" customHeight="1"/>
    <row r="249" s="4" customFormat="1" ht="16.5" customHeight="1"/>
    <row r="250" s="4" customFormat="1" ht="16.5" customHeight="1"/>
    <row r="251" s="4" customFormat="1" ht="16.5" customHeight="1"/>
    <row r="252" s="4" customFormat="1" ht="16.5" customHeight="1"/>
    <row r="253" s="4" customFormat="1" ht="16.5" customHeight="1"/>
    <row r="254" s="4" customFormat="1" ht="16.5" customHeight="1"/>
    <row r="255" s="4" customFormat="1" ht="16.5" customHeight="1"/>
    <row r="256" s="4" customFormat="1" ht="16.5" customHeight="1"/>
    <row r="257" s="4" customFormat="1" ht="16.5" customHeight="1"/>
    <row r="258" s="4" customFormat="1" ht="16.5" customHeight="1"/>
    <row r="259" s="4" customFormat="1" ht="16.5" customHeight="1"/>
    <row r="260" s="4" customFormat="1" ht="16.5" customHeight="1"/>
    <row r="261" s="4" customFormat="1" ht="16.5" customHeight="1"/>
    <row r="262" s="4" customFormat="1" ht="16.5" customHeight="1"/>
    <row r="263" s="4" customFormat="1" ht="16.5" customHeight="1"/>
    <row r="264" s="4" customFormat="1" ht="16.5" customHeight="1"/>
    <row r="265" s="4" customFormat="1" ht="16.5" customHeight="1"/>
    <row r="266" s="4" customFormat="1" ht="16.5" customHeight="1"/>
    <row r="267" s="4" customFormat="1" ht="16.5" customHeight="1"/>
    <row r="268" s="4" customFormat="1" ht="16.5" customHeight="1"/>
    <row r="269" s="4" customFormat="1" ht="16.5" customHeight="1"/>
    <row r="270" s="4" customFormat="1" ht="16.5" customHeight="1"/>
    <row r="271" s="4" customFormat="1" ht="16.5" customHeight="1"/>
    <row r="272" s="4" customFormat="1" ht="16.5" customHeight="1"/>
    <row r="273" s="4" customFormat="1" ht="16.5" customHeight="1"/>
    <row r="274" s="4" customFormat="1" ht="16.5" customHeight="1"/>
    <row r="275" s="4" customFormat="1" ht="16.5" customHeight="1"/>
    <row r="276" s="4" customFormat="1" ht="16.5" customHeight="1"/>
    <row r="277" s="4" customFormat="1" ht="16.5" customHeight="1"/>
    <row r="278" s="4" customFormat="1" ht="16.5" customHeight="1"/>
    <row r="279" s="4" customFormat="1" ht="16.5" customHeight="1"/>
    <row r="280" s="4" customFormat="1" ht="16.5" customHeight="1"/>
    <row r="281" s="4" customFormat="1" ht="16.5" customHeight="1"/>
    <row r="282" s="4" customFormat="1" ht="16.5" customHeight="1"/>
    <row r="283" s="4" customFormat="1" ht="16.5" customHeight="1"/>
    <row r="284" s="4" customFormat="1" ht="16.5" customHeight="1"/>
    <row r="285" s="4" customFormat="1" ht="16.5" customHeight="1"/>
    <row r="286" s="4" customFormat="1" ht="16.5" customHeight="1"/>
    <row r="287" s="4" customFormat="1" ht="16.5" customHeight="1"/>
    <row r="288" s="4" customFormat="1" ht="16.5" customHeight="1"/>
    <row r="289" spans="1:13" ht="16.5" customHeight="1"/>
    <row r="290" spans="1:13" ht="16.5" customHeight="1"/>
    <row r="291" spans="1:13" ht="16.5" customHeight="1"/>
    <row r="292" spans="1:13" ht="16.5" customHeight="1"/>
    <row r="293" spans="1:13" ht="16.5" customHeight="1"/>
    <row r="294" spans="1:13" ht="16.5" customHeight="1"/>
    <row r="295" spans="1:13" ht="16.5" customHeight="1"/>
    <row r="296" spans="1:13" ht="16.5" customHeight="1"/>
    <row r="297" spans="1:13" ht="16.5" customHeight="1"/>
    <row r="298" spans="1:13" ht="16.5" customHeight="1"/>
    <row r="299" spans="1:13" ht="16.5" customHeight="1"/>
    <row r="300" spans="1:13" s="88" customFormat="1" ht="26.25" customHeight="1">
      <c r="A300" s="498" t="s">
        <v>181</v>
      </c>
      <c r="B300" s="498"/>
      <c r="C300" s="499"/>
      <c r="D300" s="87"/>
      <c r="E300" s="500" t="str">
        <f>HYPERLINK("#目录!A104","跳转回到目录页")</f>
        <v>跳转回到目录页</v>
      </c>
      <c r="F300" s="501"/>
    </row>
    <row r="301" spans="1:13" s="88" customFormat="1" ht="26.25" customHeight="1">
      <c r="A301" s="502" t="s">
        <v>1216</v>
      </c>
      <c r="B301" s="502"/>
      <c r="C301" s="503" t="s">
        <v>182</v>
      </c>
      <c r="D301" s="503"/>
      <c r="E301" s="503"/>
      <c r="F301" s="503"/>
      <c r="G301" s="503"/>
      <c r="H301" s="503"/>
      <c r="I301" s="503"/>
      <c r="J301" s="503"/>
      <c r="K301" s="503"/>
      <c r="L301" s="503"/>
      <c r="M301" s="503"/>
    </row>
    <row r="302" spans="1:13" s="88" customFormat="1" ht="16.5" customHeight="1">
      <c r="A302" s="496" t="s">
        <v>1217</v>
      </c>
      <c r="B302" s="496"/>
      <c r="C302" s="493" t="s">
        <v>2439</v>
      </c>
      <c r="D302" s="493"/>
      <c r="E302" s="493"/>
      <c r="F302" s="493"/>
      <c r="G302" s="493"/>
      <c r="H302" s="493"/>
      <c r="I302" s="493"/>
      <c r="J302" s="493"/>
      <c r="K302" s="493"/>
      <c r="L302" s="493"/>
      <c r="M302" s="493"/>
    </row>
    <row r="303" spans="1:13" s="88" customFormat="1" ht="16.5" customHeight="1">
      <c r="A303" s="496" t="s">
        <v>5786</v>
      </c>
      <c r="B303" s="496"/>
      <c r="C303" s="497" t="s">
        <v>182</v>
      </c>
      <c r="D303" s="497"/>
      <c r="E303" s="497"/>
      <c r="F303" s="497"/>
      <c r="G303" s="497"/>
      <c r="H303" s="497"/>
      <c r="I303" s="497"/>
      <c r="J303" s="497"/>
      <c r="K303" s="497"/>
      <c r="L303" s="497"/>
      <c r="M303" s="497"/>
    </row>
    <row r="304" spans="1:13" s="88" customFormat="1" ht="16.5" customHeight="1">
      <c r="A304" s="496" t="s">
        <v>1220</v>
      </c>
      <c r="B304" s="496"/>
      <c r="C304" s="493" t="s">
        <v>2440</v>
      </c>
      <c r="D304" s="493"/>
      <c r="E304" s="493"/>
      <c r="F304" s="493"/>
      <c r="G304" s="493"/>
      <c r="H304" s="493"/>
      <c r="I304" s="493"/>
      <c r="J304" s="493"/>
      <c r="K304" s="493"/>
      <c r="L304" s="493"/>
      <c r="M304" s="493"/>
    </row>
    <row r="305" spans="1:13" s="88" customFormat="1" ht="16.5" customHeight="1">
      <c r="A305" s="496" t="s">
        <v>5785</v>
      </c>
      <c r="B305" s="496"/>
      <c r="C305" s="493" t="s">
        <v>2441</v>
      </c>
      <c r="D305" s="493"/>
      <c r="E305" s="493"/>
      <c r="F305" s="493"/>
      <c r="G305" s="493"/>
      <c r="H305" s="493"/>
      <c r="I305" s="493"/>
      <c r="J305" s="493"/>
      <c r="K305" s="493"/>
      <c r="L305" s="493"/>
      <c r="M305" s="493"/>
    </row>
    <row r="306" spans="1:13" s="88" customFormat="1" ht="16.5" customHeight="1">
      <c r="A306" s="89" t="s">
        <v>1223</v>
      </c>
      <c r="B306" s="92" t="s">
        <v>2200</v>
      </c>
      <c r="C306" s="493" t="s">
        <v>2442</v>
      </c>
      <c r="D306" s="493"/>
      <c r="E306" s="493"/>
      <c r="F306" s="493"/>
      <c r="G306" s="493"/>
      <c r="H306" s="493"/>
      <c r="I306" s="493"/>
      <c r="J306" s="493"/>
      <c r="K306" s="493"/>
      <c r="L306" s="493"/>
      <c r="M306" s="493"/>
    </row>
    <row r="307" spans="1:13" s="88" customFormat="1" ht="16.5" customHeight="1">
      <c r="A307" s="89"/>
      <c r="B307" s="92"/>
      <c r="C307" s="493"/>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24.75" customHeight="1">
      <c r="A310" s="89" t="s">
        <v>1229</v>
      </c>
      <c r="B310" s="493" t="s">
        <v>2443</v>
      </c>
      <c r="C310" s="493"/>
      <c r="D310" s="493"/>
      <c r="E310" s="493"/>
      <c r="F310" s="493"/>
      <c r="G310" s="493"/>
      <c r="H310" s="493"/>
      <c r="I310" s="493"/>
      <c r="J310" s="493"/>
      <c r="K310" s="493"/>
      <c r="L310" s="493"/>
      <c r="M310" s="493"/>
    </row>
    <row r="311" spans="1:13" ht="21" customHeight="1">
      <c r="B311" s="494" t="s">
        <v>1231</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c r="B314" s="93"/>
      <c r="C314" s="93"/>
      <c r="D314" s="93"/>
      <c r="E314" s="93"/>
      <c r="F314" s="93"/>
      <c r="G314" s="93"/>
      <c r="H314" s="93"/>
      <c r="I314" s="93"/>
      <c r="J314" s="93"/>
      <c r="K314" s="93"/>
    </row>
    <row r="315" spans="1:13" ht="16.5" customHeight="1">
      <c r="C315" s="93"/>
      <c r="D315" s="93"/>
      <c r="E315" s="93"/>
      <c r="F315" s="93"/>
      <c r="G315" s="93"/>
      <c r="H315" s="93"/>
      <c r="I315" s="93"/>
      <c r="J315" s="93"/>
      <c r="K315" s="93"/>
    </row>
    <row r="316" spans="1:13" ht="16.5" customHeight="1">
      <c r="B316" s="565" t="s">
        <v>2444</v>
      </c>
      <c r="C316" s="565"/>
      <c r="D316" s="565"/>
      <c r="E316" s="565"/>
      <c r="F316" s="565"/>
      <c r="G316" s="565"/>
      <c r="H316" s="565"/>
      <c r="I316" s="93"/>
      <c r="J316" s="93"/>
      <c r="K316" s="93"/>
    </row>
    <row r="317" spans="1:13" ht="16.5" customHeight="1">
      <c r="B317" s="95" t="s">
        <v>2087</v>
      </c>
      <c r="C317" s="188">
        <v>10000</v>
      </c>
      <c r="D317" s="188">
        <v>100</v>
      </c>
      <c r="E317" s="188">
        <v>2</v>
      </c>
      <c r="F317" s="188">
        <v>1</v>
      </c>
      <c r="G317" s="188">
        <v>1E-4</v>
      </c>
      <c r="H317" s="138">
        <v>-1</v>
      </c>
      <c r="I317" s="104" t="s">
        <v>1238</v>
      </c>
      <c r="J317" s="93"/>
      <c r="K317" s="93"/>
    </row>
    <row r="318" spans="1:13" ht="16.5" customHeight="1">
      <c r="B318" s="151" t="s">
        <v>1456</v>
      </c>
      <c r="C318" s="113">
        <f t="shared" ref="C318:H318" si="2">LOG10(C317)</f>
        <v>4</v>
      </c>
      <c r="D318" s="113">
        <f t="shared" si="2"/>
        <v>2</v>
      </c>
      <c r="E318" s="113">
        <f t="shared" si="2"/>
        <v>0.3010299956639812</v>
      </c>
      <c r="F318" s="113">
        <f t="shared" si="2"/>
        <v>0</v>
      </c>
      <c r="G318" s="113">
        <f t="shared" si="2"/>
        <v>-4</v>
      </c>
      <c r="H318" s="107" t="e">
        <f t="shared" si="2"/>
        <v>#NUM!</v>
      </c>
      <c r="I318" s="108" t="s">
        <v>2445</v>
      </c>
      <c r="J318" s="93"/>
      <c r="K318" s="93"/>
    </row>
    <row r="319" spans="1:13" ht="16.5" customHeight="1">
      <c r="B319" s="93"/>
      <c r="C319" s="93"/>
      <c r="D319" s="93"/>
      <c r="E319" s="93"/>
      <c r="F319" s="93"/>
      <c r="G319" s="93"/>
      <c r="H319" s="93"/>
      <c r="I319" s="93"/>
      <c r="J319" s="93"/>
      <c r="K319" s="93"/>
    </row>
    <row r="400" spans="1:6" s="88" customFormat="1" ht="26.25" customHeight="1">
      <c r="A400" s="498" t="s">
        <v>183</v>
      </c>
      <c r="B400" s="498"/>
      <c r="C400" s="499"/>
      <c r="D400" s="87"/>
      <c r="E400" s="500" t="str">
        <f>HYPERLINK("#目录!A105","跳转回到目录页")</f>
        <v>跳转回到目录页</v>
      </c>
      <c r="F400" s="501"/>
    </row>
    <row r="401" spans="1:13" s="88" customFormat="1" ht="26.25" customHeight="1">
      <c r="A401" s="502" t="s">
        <v>1216</v>
      </c>
      <c r="B401" s="502"/>
      <c r="C401" s="503" t="s">
        <v>184</v>
      </c>
      <c r="D401" s="503"/>
      <c r="E401" s="503"/>
      <c r="F401" s="503"/>
      <c r="G401" s="503"/>
      <c r="H401" s="503"/>
      <c r="I401" s="503"/>
      <c r="J401" s="503"/>
      <c r="K401" s="503"/>
      <c r="L401" s="503"/>
      <c r="M401" s="503"/>
    </row>
    <row r="402" spans="1:13" s="88" customFormat="1" ht="16.5" customHeight="1">
      <c r="A402" s="496" t="s">
        <v>1217</v>
      </c>
      <c r="B402" s="496"/>
      <c r="C402" s="493" t="s">
        <v>2446</v>
      </c>
      <c r="D402" s="493"/>
      <c r="E402" s="493"/>
      <c r="F402" s="493"/>
      <c r="G402" s="493"/>
      <c r="H402" s="493"/>
      <c r="I402" s="493"/>
      <c r="J402" s="493"/>
      <c r="K402" s="493"/>
      <c r="L402" s="493"/>
      <c r="M402" s="493"/>
    </row>
    <row r="403" spans="1:13" s="88" customFormat="1" ht="16.5" customHeight="1">
      <c r="A403" s="496" t="s">
        <v>5786</v>
      </c>
      <c r="B403" s="496"/>
      <c r="C403" s="497" t="s">
        <v>184</v>
      </c>
      <c r="D403" s="497"/>
      <c r="E403" s="497"/>
      <c r="F403" s="497"/>
      <c r="G403" s="497"/>
      <c r="H403" s="497"/>
      <c r="I403" s="497"/>
      <c r="J403" s="497"/>
      <c r="K403" s="497"/>
      <c r="L403" s="497"/>
      <c r="M403" s="497"/>
    </row>
    <row r="404" spans="1:13" s="88" customFormat="1" ht="16.5" customHeight="1">
      <c r="A404" s="496" t="s">
        <v>1220</v>
      </c>
      <c r="B404" s="496"/>
      <c r="C404" s="493" t="s">
        <v>2447</v>
      </c>
      <c r="D404" s="493"/>
      <c r="E404" s="493"/>
      <c r="F404" s="493"/>
      <c r="G404" s="493"/>
      <c r="H404" s="493"/>
      <c r="I404" s="493"/>
      <c r="J404" s="493"/>
      <c r="K404" s="493"/>
      <c r="L404" s="493"/>
      <c r="M404" s="493"/>
    </row>
    <row r="405" spans="1:13" s="88" customFormat="1" ht="16.5" customHeight="1">
      <c r="A405" s="496" t="s">
        <v>5785</v>
      </c>
      <c r="B405" s="496"/>
      <c r="C405" s="493" t="s">
        <v>2448</v>
      </c>
      <c r="D405" s="493"/>
      <c r="E405" s="493"/>
      <c r="F405" s="493"/>
      <c r="G405" s="493"/>
      <c r="H405" s="493"/>
      <c r="I405" s="493"/>
      <c r="J405" s="493"/>
      <c r="K405" s="493"/>
      <c r="L405" s="493"/>
      <c r="M405" s="493"/>
    </row>
    <row r="406" spans="1:13" s="88" customFormat="1" ht="16.5" customHeight="1">
      <c r="A406" s="89" t="s">
        <v>1223</v>
      </c>
      <c r="B406" s="92" t="s">
        <v>2200</v>
      </c>
      <c r="C406" s="493" t="s">
        <v>2442</v>
      </c>
      <c r="D406" s="493"/>
      <c r="E406" s="493"/>
      <c r="F406" s="493"/>
      <c r="G406" s="493"/>
      <c r="H406" s="493"/>
      <c r="I406" s="493"/>
      <c r="J406" s="493"/>
      <c r="K406" s="493"/>
      <c r="L406" s="493"/>
      <c r="M406" s="493"/>
    </row>
    <row r="407" spans="1:13" s="88" customFormat="1" ht="16.5" customHeight="1">
      <c r="A407" s="89"/>
      <c r="B407" s="92"/>
      <c r="C407" s="493"/>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24.75" customHeight="1">
      <c r="A410" s="89" t="s">
        <v>1229</v>
      </c>
      <c r="B410" s="493" t="s">
        <v>2449</v>
      </c>
      <c r="C410" s="493"/>
      <c r="D410" s="493"/>
      <c r="E410" s="493"/>
      <c r="F410" s="493"/>
      <c r="G410" s="493"/>
      <c r="H410" s="493"/>
      <c r="I410" s="493"/>
      <c r="J410" s="493"/>
      <c r="K410" s="493"/>
      <c r="L410" s="493"/>
      <c r="M410" s="493"/>
    </row>
    <row r="411" spans="1:13" ht="21" customHeight="1">
      <c r="B411" s="494" t="s">
        <v>1231</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4" spans="1:13" ht="16.5" customHeight="1">
      <c r="A414" s="93"/>
      <c r="B414" s="93"/>
      <c r="C414" s="93"/>
      <c r="D414" s="93"/>
      <c r="E414" s="93"/>
      <c r="F414" s="93"/>
      <c r="G414" s="93"/>
      <c r="H414" s="93"/>
    </row>
    <row r="415" spans="1:13" ht="16.5" customHeight="1">
      <c r="A415" s="93"/>
      <c r="B415" s="565" t="s">
        <v>2450</v>
      </c>
      <c r="C415" s="565"/>
      <c r="D415" s="565"/>
      <c r="E415" s="565"/>
      <c r="F415" s="565"/>
      <c r="G415" s="565"/>
      <c r="H415" s="565"/>
    </row>
    <row r="416" spans="1:13" ht="16.5" customHeight="1">
      <c r="A416" s="93"/>
      <c r="B416" s="95" t="s">
        <v>2087</v>
      </c>
      <c r="C416" s="188">
        <v>100</v>
      </c>
      <c r="D416" s="188">
        <v>10</v>
      </c>
      <c r="E416" s="188">
        <v>2</v>
      </c>
      <c r="F416" s="188">
        <v>1</v>
      </c>
      <c r="G416" s="188">
        <v>2.7182819999999999</v>
      </c>
      <c r="H416" s="138">
        <v>-1</v>
      </c>
      <c r="I416" s="104" t="s">
        <v>1238</v>
      </c>
    </row>
    <row r="417" spans="1:9" ht="16.5" customHeight="1">
      <c r="A417" s="93"/>
      <c r="B417" s="151" t="s">
        <v>1456</v>
      </c>
      <c r="C417" s="113">
        <f t="shared" ref="C417:H417" si="3">LN(C416)</f>
        <v>4.6051701859880918</v>
      </c>
      <c r="D417" s="113">
        <f t="shared" si="3"/>
        <v>2.3025850929940459</v>
      </c>
      <c r="E417" s="113">
        <f t="shared" si="3"/>
        <v>0.69314718055994529</v>
      </c>
      <c r="F417" s="113">
        <f t="shared" si="3"/>
        <v>0</v>
      </c>
      <c r="G417" s="113">
        <f t="shared" si="3"/>
        <v>1.0000000631063886</v>
      </c>
      <c r="H417" s="107" t="e">
        <f t="shared" si="3"/>
        <v>#NUM!</v>
      </c>
      <c r="I417" s="108" t="s">
        <v>2451</v>
      </c>
    </row>
    <row r="418" spans="1:9" ht="16.5" customHeight="1">
      <c r="A418" s="93"/>
      <c r="B418" s="93"/>
      <c r="C418" s="93"/>
      <c r="D418" s="93"/>
      <c r="E418" s="93"/>
      <c r="F418" s="93"/>
      <c r="G418" s="93"/>
      <c r="H418" s="93"/>
    </row>
    <row r="419" spans="1:9">
      <c r="A419" s="93"/>
      <c r="B419" s="93"/>
      <c r="C419" s="93"/>
      <c r="D419" s="93"/>
      <c r="E419" s="93"/>
      <c r="F419" s="93"/>
      <c r="G419" s="93"/>
      <c r="H419" s="93"/>
    </row>
  </sheetData>
  <mergeCells count="99">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2:B202"/>
    <mergeCell ref="C202:M202"/>
    <mergeCell ref="D115:F115"/>
    <mergeCell ref="E116:F116"/>
    <mergeCell ref="E117:F117"/>
    <mergeCell ref="E118:F118"/>
    <mergeCell ref="E119:F119"/>
    <mergeCell ref="E120:F120"/>
    <mergeCell ref="E121:F121"/>
    <mergeCell ref="A200:C200"/>
    <mergeCell ref="E200:F200"/>
    <mergeCell ref="A201:B201"/>
    <mergeCell ref="C201:M201"/>
    <mergeCell ref="B211:L211"/>
    <mergeCell ref="A203:B203"/>
    <mergeCell ref="C203:M203"/>
    <mergeCell ref="A204:B204"/>
    <mergeCell ref="C204:M204"/>
    <mergeCell ref="A205:B205"/>
    <mergeCell ref="C205:M205"/>
    <mergeCell ref="C206:M206"/>
    <mergeCell ref="C207:M207"/>
    <mergeCell ref="C208:M208"/>
    <mergeCell ref="B209:M209"/>
    <mergeCell ref="B210:M210"/>
    <mergeCell ref="A300:C300"/>
    <mergeCell ref="E300:F300"/>
    <mergeCell ref="A301:B301"/>
    <mergeCell ref="C301:M301"/>
    <mergeCell ref="A302:B302"/>
    <mergeCell ref="C302:M302"/>
    <mergeCell ref="A303:B303"/>
    <mergeCell ref="C303:M303"/>
    <mergeCell ref="A304:B304"/>
    <mergeCell ref="C304:M304"/>
    <mergeCell ref="A305:B305"/>
    <mergeCell ref="C305:M305"/>
    <mergeCell ref="A402:B402"/>
    <mergeCell ref="C402:M402"/>
    <mergeCell ref="C306:M306"/>
    <mergeCell ref="C307:M307"/>
    <mergeCell ref="C308:M308"/>
    <mergeCell ref="B309:M309"/>
    <mergeCell ref="B310:M310"/>
    <mergeCell ref="B311:L311"/>
    <mergeCell ref="B316:H316"/>
    <mergeCell ref="A400:C400"/>
    <mergeCell ref="E400:F400"/>
    <mergeCell ref="A401:B401"/>
    <mergeCell ref="C401:M401"/>
    <mergeCell ref="A403:B403"/>
    <mergeCell ref="C403:M403"/>
    <mergeCell ref="A404:B404"/>
    <mergeCell ref="C404:M404"/>
    <mergeCell ref="A405:B405"/>
    <mergeCell ref="C405:M405"/>
    <mergeCell ref="B415:H415"/>
    <mergeCell ref="C406:M406"/>
    <mergeCell ref="C407:M407"/>
    <mergeCell ref="C408:M408"/>
    <mergeCell ref="B409:M409"/>
    <mergeCell ref="B410:M410"/>
    <mergeCell ref="B411:L411"/>
  </mergeCells>
  <phoneticPr fontId="2" type="noConversion"/>
  <pageMargins left="0.75" right="0.75" top="1" bottom="1" header="0.5" footer="0.5"/>
  <headerFooter scaleWithDoc="0"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V621"/>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197</v>
      </c>
      <c r="B1" s="498"/>
      <c r="C1" s="499"/>
      <c r="D1" s="87"/>
      <c r="E1" s="500" t="str">
        <f>HYPERLINK("#目录!A112","跳转回到目录页")</f>
        <v>跳转回到目录页</v>
      </c>
      <c r="F1" s="501"/>
    </row>
    <row r="2" spans="1:48" s="88" customFormat="1" ht="26.25" customHeight="1">
      <c r="A2" s="502" t="s">
        <v>1216</v>
      </c>
      <c r="B2" s="502"/>
      <c r="C2" s="503" t="s">
        <v>198</v>
      </c>
      <c r="D2" s="503"/>
      <c r="E2" s="503"/>
      <c r="F2" s="503"/>
      <c r="G2" s="503"/>
      <c r="H2" s="503"/>
      <c r="I2" s="503"/>
      <c r="J2" s="503"/>
      <c r="K2" s="503"/>
      <c r="L2" s="503"/>
      <c r="M2" s="503"/>
    </row>
    <row r="3" spans="1:48" s="88" customFormat="1" ht="16.5" customHeight="1">
      <c r="A3" s="496" t="s">
        <v>1217</v>
      </c>
      <c r="B3" s="496"/>
      <c r="C3" s="493" t="s">
        <v>2452</v>
      </c>
      <c r="D3" s="493"/>
      <c r="E3" s="493"/>
      <c r="F3" s="493"/>
      <c r="G3" s="493"/>
      <c r="H3" s="493"/>
      <c r="I3" s="493"/>
      <c r="J3" s="493"/>
      <c r="K3" s="493"/>
      <c r="L3" s="493"/>
      <c r="M3" s="493"/>
    </row>
    <row r="4" spans="1:48" s="88" customFormat="1" ht="16.5" customHeight="1">
      <c r="A4" s="496" t="s">
        <v>5786</v>
      </c>
      <c r="B4" s="496"/>
      <c r="C4" s="497" t="s">
        <v>2452</v>
      </c>
      <c r="D4" s="497"/>
      <c r="E4" s="497"/>
      <c r="F4" s="497"/>
      <c r="G4" s="497"/>
      <c r="H4" s="497"/>
      <c r="I4" s="497"/>
      <c r="J4" s="497"/>
      <c r="K4" s="497"/>
      <c r="L4" s="497"/>
      <c r="M4" s="497"/>
    </row>
    <row r="5" spans="1:48" s="88" customFormat="1" ht="16.5" customHeight="1">
      <c r="A5" s="496" t="s">
        <v>1220</v>
      </c>
      <c r="B5" s="496"/>
      <c r="C5" s="493" t="s">
        <v>2453</v>
      </c>
      <c r="D5" s="493"/>
      <c r="E5" s="493"/>
      <c r="F5" s="493"/>
      <c r="G5" s="493"/>
      <c r="H5" s="493"/>
      <c r="I5" s="493"/>
      <c r="J5" s="493"/>
      <c r="K5" s="493"/>
      <c r="L5" s="493"/>
      <c r="M5" s="493"/>
    </row>
    <row r="6" spans="1:48" s="88" customFormat="1" ht="16.5" customHeight="1">
      <c r="A6" s="496" t="s">
        <v>5785</v>
      </c>
      <c r="B6" s="496"/>
      <c r="C6" s="493" t="s">
        <v>2454</v>
      </c>
      <c r="D6" s="493"/>
      <c r="E6" s="493"/>
      <c r="F6" s="493"/>
      <c r="G6" s="493"/>
      <c r="H6" s="493"/>
      <c r="I6" s="493"/>
      <c r="J6" s="493"/>
      <c r="K6" s="493"/>
      <c r="L6" s="493"/>
      <c r="M6" s="493"/>
    </row>
    <row r="7" spans="1:48" s="88" customFormat="1" ht="16.5" customHeight="1">
      <c r="A7" s="89" t="s">
        <v>1223</v>
      </c>
      <c r="B7" s="92" t="s">
        <v>2200</v>
      </c>
      <c r="C7" s="493" t="s">
        <v>2455</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2456</v>
      </c>
      <c r="C10" s="493"/>
      <c r="D10" s="493"/>
      <c r="E10" s="493"/>
      <c r="F10" s="493"/>
      <c r="G10" s="493"/>
      <c r="H10" s="493"/>
      <c r="I10" s="493"/>
      <c r="J10" s="493"/>
      <c r="K10" s="493"/>
      <c r="L10" s="493"/>
      <c r="M10" s="493"/>
    </row>
    <row r="11" spans="1:48" ht="24.75" customHeight="1">
      <c r="A11" s="89" t="s">
        <v>1229</v>
      </c>
      <c r="B11" s="493" t="s">
        <v>2457</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518" t="s">
        <v>2458</v>
      </c>
      <c r="C16" s="518"/>
      <c r="D16" s="518"/>
      <c r="E16" s="104" t="s">
        <v>1238</v>
      </c>
      <c r="G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87">
        <v>-3.75</v>
      </c>
      <c r="C17" s="558">
        <f>SIN(B17)</f>
        <v>0.57156131874234373</v>
      </c>
      <c r="D17" s="559"/>
      <c r="E17" s="108" t="s">
        <v>2459</v>
      </c>
      <c r="G17" s="18"/>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v>-3</v>
      </c>
      <c r="C18" s="554">
        <f t="shared" ref="C18:C26" si="0">SIN(B18)</f>
        <v>-0.14112000805986721</v>
      </c>
      <c r="D18" s="555"/>
      <c r="G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-2.25</v>
      </c>
      <c r="C19" s="554">
        <f t="shared" si="0"/>
        <v>-0.7780731968879212</v>
      </c>
      <c r="D19" s="555"/>
      <c r="G19" s="18"/>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v>-1.5</v>
      </c>
      <c r="C20" s="554">
        <f t="shared" si="0"/>
        <v>-0.99749498660405445</v>
      </c>
      <c r="D20" s="555"/>
      <c r="G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v>-0.75</v>
      </c>
      <c r="C21" s="554">
        <f t="shared" si="0"/>
        <v>-0.68163876002333412</v>
      </c>
      <c r="D21" s="555"/>
      <c r="G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v>0.75</v>
      </c>
      <c r="C22" s="554">
        <f t="shared" si="0"/>
        <v>0.68163876002333412</v>
      </c>
      <c r="D22" s="555"/>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9">
        <v>1.5</v>
      </c>
      <c r="C23" s="554">
        <f t="shared" si="0"/>
        <v>0.99749498660405445</v>
      </c>
      <c r="D23" s="555"/>
      <c r="G23" s="18"/>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9">
        <v>2.25</v>
      </c>
      <c r="C24" s="554">
        <f t="shared" si="0"/>
        <v>0.7780731968879212</v>
      </c>
      <c r="D24" s="555"/>
      <c r="G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9">
        <v>3</v>
      </c>
      <c r="C25" s="554">
        <f t="shared" si="0"/>
        <v>0.14112000805986721</v>
      </c>
      <c r="D25" s="555"/>
      <c r="G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05">
        <v>3.75</v>
      </c>
      <c r="C26" s="556">
        <f t="shared" si="0"/>
        <v>-0.57156131874234373</v>
      </c>
      <c r="D26" s="557"/>
      <c r="G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G27" s="18"/>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G28" s="18"/>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G29" s="18"/>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G30" s="18"/>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G31" s="18"/>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G32" s="18"/>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7:48" s="93" customFormat="1" ht="16.5" customHeight="1">
      <c r="G33" s="18"/>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7:48" s="93" customFormat="1" ht="16.5" customHeight="1">
      <c r="G34" s="18"/>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7:48" s="93" customFormat="1" ht="16.5" customHeight="1">
      <c r="G35" s="18"/>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7:48" s="93" customFormat="1" ht="16.5" customHeight="1">
      <c r="G36" s="18"/>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7:48" s="93" customFormat="1" ht="16.5" customHeight="1">
      <c r="G37" s="18"/>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7:48" s="93" customFormat="1" ht="16.5" customHeight="1">
      <c r="G38" s="18"/>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7:48" s="93" customFormat="1" ht="16.5" customHeight="1">
      <c r="G39" s="18"/>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7:48" s="93" customFormat="1" ht="16.5" customHeight="1">
      <c r="G40" s="18"/>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7:48" s="93" customFormat="1" ht="16.5" customHeight="1">
      <c r="G41" s="18"/>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7:48" s="93" customFormat="1" ht="16.5" customHeight="1">
      <c r="G42" s="18"/>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7:48" s="93" customFormat="1" ht="16.5" customHeight="1">
      <c r="G43" s="18"/>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7:48" s="93" customFormat="1" ht="16.5" customHeight="1">
      <c r="G44" s="18"/>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7:48" s="93" customFormat="1" ht="16.5" customHeight="1">
      <c r="G45" s="18"/>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7:48" s="93" customFormat="1" ht="16.5" customHeight="1">
      <c r="G46" s="18"/>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7:48" s="93" customFormat="1" ht="16.5" customHeight="1">
      <c r="G47" s="18"/>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7:48" s="93" customFormat="1" ht="16.5" customHeight="1">
      <c r="G48" s="18"/>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7:48" s="93" customFormat="1" ht="16.5" customHeight="1">
      <c r="G49" s="18"/>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7:48" s="93" customFormat="1" ht="16.5" customHeight="1">
      <c r="G50" s="18"/>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7:48" s="93" customFormat="1" ht="16.5" customHeight="1">
      <c r="G51" s="18"/>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7:48" s="93" customFormat="1" ht="16.5" customHeight="1">
      <c r="G52" s="18"/>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7:48" s="93" customFormat="1" ht="16.5" customHeight="1">
      <c r="G53" s="18"/>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7:48" s="93" customFormat="1" ht="16.5" customHeight="1">
      <c r="G54" s="18"/>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7:48" s="93" customFormat="1" ht="16.5" customHeight="1">
      <c r="G55" s="18"/>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7:48" s="93" customFormat="1" ht="16.5" customHeight="1">
      <c r="G56" s="18"/>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7:48" s="93" customFormat="1" ht="16.5" customHeight="1">
      <c r="G57" s="18"/>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7:48" s="93" customFormat="1" ht="16.5" customHeight="1">
      <c r="G58" s="18"/>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7:48" s="93" customFormat="1" ht="16.5" customHeight="1">
      <c r="G59" s="18"/>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7:48" s="93" customFormat="1" ht="16.5" customHeight="1">
      <c r="G60" s="18"/>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7:48" s="93" customFormat="1" ht="16.5" customHeight="1">
      <c r="G61" s="18"/>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7:48" s="93" customFormat="1" ht="16.5" customHeight="1">
      <c r="G62" s="18"/>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7:48" s="93" customFormat="1" ht="16.5" customHeight="1">
      <c r="G63" s="18"/>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7:48" s="93" customFormat="1" ht="16.5" customHeight="1">
      <c r="G64" s="18"/>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48" s="93" customFormat="1" ht="16.5" customHeight="1">
      <c r="G65" s="18"/>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48" s="93" customFormat="1" ht="16.5" customHeight="1">
      <c r="G66" s="18"/>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48" s="93" customFormat="1" ht="16.5" customHeight="1">
      <c r="G67" s="18"/>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48" s="93" customFormat="1" ht="16.5" customHeight="1">
      <c r="G68" s="18"/>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48" s="93" customFormat="1" ht="16.5" customHeight="1">
      <c r="G69" s="18"/>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48" s="93" customFormat="1" ht="16.5" customHeight="1">
      <c r="G70" s="18"/>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48" s="93" customFormat="1" ht="16.5" customHeight="1">
      <c r="G71" s="18"/>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48" s="93" customFormat="1" ht="16.5" customHeight="1">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48" s="93" customFormat="1" ht="16.5" customHeight="1">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48" s="93" customFormat="1" ht="16.5" customHeight="1">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48" s="93" customFormat="1" ht="16.5" customHeight="1">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48" s="93" customFormat="1" ht="16.5" customHeight="1">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48" s="93" customFormat="1" ht="16.5" customHeight="1">
      <c r="A77" s="9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48" s="93" customFormat="1" ht="16.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48" s="93" customFormat="1" ht="16.5" customHeight="1">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48" s="93" customFormat="1" ht="16.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2:48" s="93" customFormat="1" ht="16.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2:48" s="93" customFormat="1" ht="16.5" customHeight="1">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2:48" s="93" customFormat="1" ht="16.5" customHeight="1">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2:48" s="93" customFormat="1" ht="16.5" customHeight="1">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2:48" s="93" customFormat="1" ht="16.5" customHeight="1">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2:48" s="93" customFormat="1" ht="16.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2:48" s="93" customFormat="1" ht="16.5" customHeigh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2:48" s="93" customFormat="1" ht="16.5" customHeight="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2:48" s="93" customFormat="1" ht="16.5" customHeight="1">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2:48" s="93" customFormat="1" ht="16.5" customHeight="1">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2:48" s="93" customFormat="1" ht="16.5" customHeight="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6.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6.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6.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6.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s="93" customFormat="1" ht="16.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100" spans="1:48" s="88" customFormat="1" ht="26.25" customHeight="1">
      <c r="A100" s="498" t="s">
        <v>199</v>
      </c>
      <c r="B100" s="498"/>
      <c r="C100" s="499"/>
      <c r="D100" s="87"/>
      <c r="E100" s="500" t="str">
        <f>HYPERLINK("#目录!A113","跳转回到目录页")</f>
        <v>跳转回到目录页</v>
      </c>
      <c r="F100" s="501"/>
    </row>
    <row r="101" spans="1:48" s="88" customFormat="1" ht="26.25" customHeight="1">
      <c r="A101" s="502" t="s">
        <v>1216</v>
      </c>
      <c r="B101" s="502"/>
      <c r="C101" s="503" t="s">
        <v>200</v>
      </c>
      <c r="D101" s="503"/>
      <c r="E101" s="503"/>
      <c r="F101" s="503"/>
      <c r="G101" s="503"/>
      <c r="H101" s="503"/>
      <c r="I101" s="503"/>
      <c r="J101" s="503"/>
      <c r="K101" s="503"/>
      <c r="L101" s="503"/>
      <c r="M101" s="503"/>
    </row>
    <row r="102" spans="1:48" s="88" customFormat="1" ht="16.5" customHeight="1">
      <c r="A102" s="496" t="s">
        <v>1217</v>
      </c>
      <c r="B102" s="496"/>
      <c r="C102" s="493" t="s">
        <v>2460</v>
      </c>
      <c r="D102" s="493"/>
      <c r="E102" s="493"/>
      <c r="F102" s="493"/>
      <c r="G102" s="493"/>
      <c r="H102" s="493"/>
      <c r="I102" s="493"/>
      <c r="J102" s="493"/>
      <c r="K102" s="493"/>
      <c r="L102" s="493"/>
      <c r="M102" s="493"/>
    </row>
    <row r="103" spans="1:48" s="88" customFormat="1" ht="16.5" customHeight="1">
      <c r="A103" s="496" t="s">
        <v>5786</v>
      </c>
      <c r="B103" s="496"/>
      <c r="C103" s="497" t="s">
        <v>200</v>
      </c>
      <c r="D103" s="497"/>
      <c r="E103" s="497"/>
      <c r="F103" s="497"/>
      <c r="G103" s="497"/>
      <c r="H103" s="497"/>
      <c r="I103" s="497"/>
      <c r="J103" s="497"/>
      <c r="K103" s="497"/>
      <c r="L103" s="497"/>
      <c r="M103" s="497"/>
    </row>
    <row r="104" spans="1:48" s="88" customFormat="1" ht="16.5" customHeight="1">
      <c r="A104" s="496" t="s">
        <v>1220</v>
      </c>
      <c r="B104" s="496"/>
      <c r="C104" s="493" t="s">
        <v>2461</v>
      </c>
      <c r="D104" s="493"/>
      <c r="E104" s="493"/>
      <c r="F104" s="493"/>
      <c r="G104" s="493"/>
      <c r="H104" s="493"/>
      <c r="I104" s="493"/>
      <c r="J104" s="493"/>
      <c r="K104" s="493"/>
      <c r="L104" s="493"/>
      <c r="M104" s="493"/>
    </row>
    <row r="105" spans="1:48" s="88" customFormat="1" ht="16.5" customHeight="1">
      <c r="A105" s="496" t="s">
        <v>5785</v>
      </c>
      <c r="B105" s="496"/>
      <c r="C105" s="493" t="s">
        <v>2462</v>
      </c>
      <c r="D105" s="493"/>
      <c r="E105" s="493"/>
      <c r="F105" s="493"/>
      <c r="G105" s="493"/>
      <c r="H105" s="493"/>
      <c r="I105" s="493"/>
      <c r="J105" s="493"/>
      <c r="K105" s="493"/>
      <c r="L105" s="493"/>
      <c r="M105" s="493"/>
    </row>
    <row r="106" spans="1:48" s="88" customFormat="1" ht="16.5" customHeight="1">
      <c r="A106" s="89" t="s">
        <v>1223</v>
      </c>
      <c r="B106" s="92" t="s">
        <v>2200</v>
      </c>
      <c r="C106" s="493" t="s">
        <v>2463</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t="s">
        <v>2464</v>
      </c>
      <c r="C109" s="493"/>
      <c r="D109" s="493"/>
      <c r="E109" s="493"/>
      <c r="F109" s="493"/>
      <c r="G109" s="493"/>
      <c r="H109" s="493"/>
      <c r="I109" s="493"/>
      <c r="J109" s="493"/>
      <c r="K109" s="493"/>
      <c r="L109" s="493"/>
      <c r="M109" s="493"/>
    </row>
    <row r="110" spans="1:48" ht="16.5" customHeight="1">
      <c r="A110" s="89" t="s">
        <v>1229</v>
      </c>
      <c r="B110" s="493" t="s">
        <v>2465</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7" s="93" customFormat="1" ht="16.5" customHeight="1">
      <c r="A113" s="94" t="s">
        <v>1232</v>
      </c>
      <c r="B113" s="93" t="s">
        <v>1773</v>
      </c>
    </row>
    <row r="114" spans="1:7" ht="16.5" customHeight="1"/>
    <row r="115" spans="1:7" ht="16.5" customHeight="1">
      <c r="B115" s="518" t="s">
        <v>2458</v>
      </c>
      <c r="C115" s="518"/>
      <c r="D115" s="518"/>
      <c r="E115" s="104" t="s">
        <v>1238</v>
      </c>
    </row>
    <row r="116" spans="1:7" ht="16.5" customHeight="1">
      <c r="B116" s="187">
        <v>-3.75</v>
      </c>
      <c r="C116" s="558">
        <f>COS(B116)</f>
        <v>-0.82055935733956076</v>
      </c>
      <c r="D116" s="559"/>
      <c r="E116" s="108" t="s">
        <v>2466</v>
      </c>
      <c r="G116" s="18"/>
    </row>
    <row r="117" spans="1:7" ht="16.5" customHeight="1">
      <c r="B117" s="99">
        <v>-3</v>
      </c>
      <c r="C117" s="554">
        <f t="shared" ref="C117:C125" si="1">COS(B117)</f>
        <v>-0.98999249660044542</v>
      </c>
      <c r="D117" s="555"/>
      <c r="E117" s="93"/>
    </row>
    <row r="118" spans="1:7" ht="16.5" customHeight="1">
      <c r="B118" s="99">
        <v>-2.25</v>
      </c>
      <c r="C118" s="554">
        <f t="shared" si="1"/>
        <v>-0.62817362272273913</v>
      </c>
      <c r="D118" s="555"/>
      <c r="E118" s="93"/>
      <c r="G118" s="18"/>
    </row>
    <row r="119" spans="1:7" ht="16.5" customHeight="1">
      <c r="B119" s="99">
        <v>-1.5</v>
      </c>
      <c r="C119" s="554">
        <f t="shared" si="1"/>
        <v>7.0737201667702906E-2</v>
      </c>
      <c r="D119" s="555"/>
      <c r="E119" s="93"/>
    </row>
    <row r="120" spans="1:7" ht="16.5" customHeight="1">
      <c r="B120" s="99">
        <v>-0.75</v>
      </c>
      <c r="C120" s="554">
        <f t="shared" si="1"/>
        <v>0.7316888688738209</v>
      </c>
      <c r="D120" s="555"/>
      <c r="E120" s="93"/>
    </row>
    <row r="121" spans="1:7" ht="16.5" customHeight="1">
      <c r="B121" s="99">
        <v>0.75</v>
      </c>
      <c r="C121" s="554">
        <f t="shared" si="1"/>
        <v>0.7316888688738209</v>
      </c>
      <c r="D121" s="555"/>
      <c r="E121" s="93"/>
    </row>
    <row r="122" spans="1:7" ht="16.5" customHeight="1">
      <c r="B122" s="99">
        <v>1.5</v>
      </c>
      <c r="C122" s="554">
        <f t="shared" si="1"/>
        <v>7.0737201667702906E-2</v>
      </c>
      <c r="D122" s="555"/>
      <c r="E122" s="93"/>
      <c r="G122" s="18"/>
    </row>
    <row r="123" spans="1:7" ht="16.5" customHeight="1">
      <c r="B123" s="99">
        <v>2.25</v>
      </c>
      <c r="C123" s="554">
        <f t="shared" si="1"/>
        <v>-0.62817362272273913</v>
      </c>
      <c r="D123" s="555"/>
      <c r="E123" s="93"/>
    </row>
    <row r="124" spans="1:7" ht="16.5" customHeight="1">
      <c r="B124" s="99">
        <v>3</v>
      </c>
      <c r="C124" s="554">
        <f t="shared" si="1"/>
        <v>-0.98999249660044542</v>
      </c>
      <c r="D124" s="555"/>
      <c r="E124" s="93"/>
    </row>
    <row r="125" spans="1:7" ht="16.5" customHeight="1">
      <c r="B125" s="105">
        <v>3.75</v>
      </c>
      <c r="C125" s="556">
        <f t="shared" si="1"/>
        <v>-0.82055935733956076</v>
      </c>
      <c r="D125" s="557"/>
      <c r="E125" s="93"/>
    </row>
    <row r="126" spans="1:7" ht="16.5" customHeight="1"/>
    <row r="127" spans="1:7" ht="16.5" customHeight="1"/>
    <row r="128" spans="1:7" ht="16.5" customHeight="1"/>
    <row r="129" s="4" customFormat="1" ht="16.5" customHeight="1"/>
    <row r="130" s="4" customFormat="1" ht="16.5" customHeight="1"/>
    <row r="131" s="4" customFormat="1" ht="16.5" customHeight="1"/>
    <row r="132" s="4" customFormat="1" ht="16.5" customHeight="1"/>
    <row r="133" s="4" customFormat="1" ht="16.5" customHeight="1"/>
    <row r="134" s="4" customFormat="1" ht="16.5" customHeight="1"/>
    <row r="135" s="4" customFormat="1" ht="16.5" customHeight="1"/>
    <row r="136" s="4" customFormat="1" ht="16.5" customHeight="1"/>
    <row r="137" s="4" customFormat="1" ht="16.5" customHeight="1"/>
    <row r="138" s="4" customFormat="1" ht="16.5" customHeight="1"/>
    <row r="139" s="4" customFormat="1" ht="16.5" customHeight="1"/>
    <row r="140" s="4" customFormat="1" ht="16.5" customHeight="1"/>
    <row r="141" s="4" customFormat="1" ht="16.5" customHeight="1"/>
    <row r="142" s="4" customFormat="1" ht="16.5" customHeight="1"/>
    <row r="143" s="4" customFormat="1" ht="16.5" customHeight="1"/>
    <row r="144" s="4" customFormat="1" ht="16.5" customHeight="1"/>
    <row r="145" s="4" customFormat="1" ht="16.5" customHeight="1"/>
    <row r="146" s="4" customFormat="1" ht="16.5" customHeight="1"/>
    <row r="147" s="4" customFormat="1" ht="16.5" customHeight="1"/>
    <row r="148" s="4" customFormat="1" ht="16.5" customHeight="1"/>
    <row r="149" s="4" customFormat="1" ht="16.5" customHeight="1"/>
    <row r="150" s="4" customFormat="1" ht="16.5" customHeight="1"/>
    <row r="151" s="4" customFormat="1" ht="16.5" customHeight="1"/>
    <row r="152" s="4" customFormat="1" ht="16.5" customHeight="1"/>
    <row r="153" s="4" customFormat="1" ht="16.5" customHeight="1"/>
    <row r="154" s="4" customFormat="1" ht="16.5" customHeight="1"/>
    <row r="155" s="4" customFormat="1" ht="16.5" customHeight="1"/>
    <row r="156" s="4" customFormat="1" ht="16.5" customHeight="1"/>
    <row r="157" s="4" customFormat="1" ht="16.5" customHeight="1"/>
    <row r="158" s="4" customFormat="1" ht="16.5" customHeight="1"/>
    <row r="159" s="4" customFormat="1" ht="16.5" customHeight="1"/>
    <row r="160" s="4" customFormat="1" ht="16.5" customHeight="1"/>
    <row r="161" s="4" customFormat="1" ht="16.5" customHeight="1"/>
    <row r="162" s="4" customFormat="1" ht="16.5" customHeight="1"/>
    <row r="163" s="4" customFormat="1" ht="16.5" customHeight="1"/>
    <row r="164" s="4" customFormat="1" ht="16.5" customHeight="1"/>
    <row r="165" s="4" customFormat="1" ht="16.5" customHeight="1"/>
    <row r="166" s="4" customFormat="1" ht="16.5" customHeight="1"/>
    <row r="167" s="4" customFormat="1" ht="16.5" customHeight="1"/>
    <row r="168" s="4" customFormat="1" ht="16.5" customHeight="1"/>
    <row r="169" s="4" customFormat="1" ht="16.5" customHeight="1"/>
    <row r="170" s="4" customFormat="1" ht="16.5" customHeight="1"/>
    <row r="171" s="4" customFormat="1" ht="16.5" customHeight="1"/>
    <row r="172" s="4" customFormat="1" ht="16.5" customHeight="1"/>
    <row r="200" spans="1:13" s="88" customFormat="1" ht="26.25" customHeight="1">
      <c r="A200" s="498" t="s">
        <v>201</v>
      </c>
      <c r="B200" s="498"/>
      <c r="C200" s="499"/>
      <c r="D200" s="87"/>
      <c r="E200" s="500" t="str">
        <f>HYPERLINK("#目录!A114","跳转回到目录页")</f>
        <v>跳转回到目录页</v>
      </c>
      <c r="F200" s="501"/>
    </row>
    <row r="201" spans="1:13" s="88" customFormat="1" ht="26.25" customHeight="1">
      <c r="A201" s="502" t="s">
        <v>1216</v>
      </c>
      <c r="B201" s="502"/>
      <c r="C201" s="503" t="s">
        <v>202</v>
      </c>
      <c r="D201" s="503"/>
      <c r="E201" s="503"/>
      <c r="F201" s="503"/>
      <c r="G201" s="503"/>
      <c r="H201" s="503"/>
      <c r="I201" s="503"/>
      <c r="J201" s="503"/>
      <c r="K201" s="503"/>
      <c r="L201" s="503"/>
      <c r="M201" s="503"/>
    </row>
    <row r="202" spans="1:13" s="88" customFormat="1" ht="16.5" customHeight="1">
      <c r="A202" s="496" t="s">
        <v>1217</v>
      </c>
      <c r="B202" s="496"/>
      <c r="C202" s="493" t="s">
        <v>2467</v>
      </c>
      <c r="D202" s="493"/>
      <c r="E202" s="493"/>
      <c r="F202" s="493"/>
      <c r="G202" s="493"/>
      <c r="H202" s="493"/>
      <c r="I202" s="493"/>
      <c r="J202" s="493"/>
      <c r="K202" s="493"/>
      <c r="L202" s="493"/>
      <c r="M202" s="493"/>
    </row>
    <row r="203" spans="1:13" s="88" customFormat="1" ht="16.5" customHeight="1">
      <c r="A203" s="496" t="s">
        <v>5786</v>
      </c>
      <c r="B203" s="496"/>
      <c r="C203" s="497" t="s">
        <v>202</v>
      </c>
      <c r="D203" s="497"/>
      <c r="E203" s="497"/>
      <c r="F203" s="497"/>
      <c r="G203" s="497"/>
      <c r="H203" s="497"/>
      <c r="I203" s="497"/>
      <c r="J203" s="497"/>
      <c r="K203" s="497"/>
      <c r="L203" s="497"/>
      <c r="M203" s="497"/>
    </row>
    <row r="204" spans="1:13" s="88" customFormat="1" ht="16.5" customHeight="1">
      <c r="A204" s="496" t="s">
        <v>1220</v>
      </c>
      <c r="B204" s="496"/>
      <c r="C204" s="493" t="s">
        <v>2468</v>
      </c>
      <c r="D204" s="493"/>
      <c r="E204" s="493"/>
      <c r="F204" s="493"/>
      <c r="G204" s="493"/>
      <c r="H204" s="493"/>
      <c r="I204" s="493"/>
      <c r="J204" s="493"/>
      <c r="K204" s="493"/>
      <c r="L204" s="493"/>
      <c r="M204" s="493"/>
    </row>
    <row r="205" spans="1:13" s="88" customFormat="1" ht="16.5" customHeight="1">
      <c r="A205" s="496" t="s">
        <v>5785</v>
      </c>
      <c r="B205" s="496"/>
      <c r="C205" s="493" t="s">
        <v>2469</v>
      </c>
      <c r="D205" s="493"/>
      <c r="E205" s="493"/>
      <c r="F205" s="493"/>
      <c r="G205" s="493"/>
      <c r="H205" s="493"/>
      <c r="I205" s="493"/>
      <c r="J205" s="493"/>
      <c r="K205" s="493"/>
      <c r="L205" s="493"/>
      <c r="M205" s="493"/>
    </row>
    <row r="206" spans="1:13" s="88" customFormat="1" ht="16.5" customHeight="1">
      <c r="A206" s="89" t="s">
        <v>1223</v>
      </c>
      <c r="B206" s="92" t="s">
        <v>2200</v>
      </c>
      <c r="C206" s="493" t="s">
        <v>2470</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t="s">
        <v>2471</v>
      </c>
      <c r="C209" s="493"/>
      <c r="D209" s="493"/>
      <c r="E209" s="493"/>
      <c r="F209" s="493"/>
      <c r="G209" s="493"/>
      <c r="H209" s="493"/>
      <c r="I209" s="493"/>
      <c r="J209" s="493"/>
      <c r="K209" s="493"/>
      <c r="L209" s="493"/>
      <c r="M209" s="493"/>
    </row>
    <row r="210" spans="1:13" ht="16.5" customHeight="1">
      <c r="A210" s="89" t="s">
        <v>1229</v>
      </c>
      <c r="B210" s="493" t="s">
        <v>2472</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s="93" customFormat="1" ht="16.5" customHeight="1"/>
    <row r="215" spans="1:13" s="93" customFormat="1" ht="16.5" customHeight="1">
      <c r="B215" s="565" t="s">
        <v>2473</v>
      </c>
      <c r="C215" s="565"/>
      <c r="D215" s="565"/>
      <c r="E215" s="104" t="s">
        <v>1238</v>
      </c>
    </row>
    <row r="216" spans="1:13" s="93" customFormat="1" ht="16.5" customHeight="1">
      <c r="B216" s="187">
        <v>-1.5</v>
      </c>
      <c r="C216" s="558">
        <f>TAN(B216)</f>
        <v>-14.101419947171719</v>
      </c>
      <c r="D216" s="559"/>
      <c r="E216" s="108" t="s">
        <v>2474</v>
      </c>
      <c r="H216" s="170"/>
    </row>
    <row r="217" spans="1:13" s="93" customFormat="1" ht="16.5" customHeight="1">
      <c r="B217" s="99">
        <v>-1.45</v>
      </c>
      <c r="C217" s="554">
        <f t="shared" ref="C217:C232" si="2">TAN(B217)</f>
        <v>-8.2380927529656045</v>
      </c>
      <c r="D217" s="555"/>
    </row>
    <row r="218" spans="1:13" s="93" customFormat="1" ht="16.5" customHeight="1">
      <c r="B218" s="99">
        <v>-1.4</v>
      </c>
      <c r="C218" s="554">
        <f t="shared" si="2"/>
        <v>-5.7978837154828868</v>
      </c>
      <c r="D218" s="555"/>
      <c r="H218" s="170"/>
    </row>
    <row r="219" spans="1:13" s="93" customFormat="1" ht="16.5" customHeight="1">
      <c r="B219" s="99">
        <v>-1.35</v>
      </c>
      <c r="C219" s="554">
        <f t="shared" si="2"/>
        <v>-4.4552217595627051</v>
      </c>
      <c r="D219" s="555"/>
    </row>
    <row r="220" spans="1:13" s="93" customFormat="1" ht="16.5" customHeight="1">
      <c r="B220" s="99">
        <v>-1.3</v>
      </c>
      <c r="C220" s="554">
        <f t="shared" si="2"/>
        <v>-3.6021024479679786</v>
      </c>
      <c r="D220" s="555"/>
    </row>
    <row r="221" spans="1:13" s="93" customFormat="1" ht="16.5" customHeight="1">
      <c r="B221" s="99">
        <v>-1.25</v>
      </c>
      <c r="C221" s="554">
        <f t="shared" si="2"/>
        <v>-3.0095696738628313</v>
      </c>
      <c r="D221" s="555"/>
    </row>
    <row r="222" spans="1:13" s="93" customFormat="1" ht="16.5" customHeight="1">
      <c r="B222" s="99">
        <v>-1.2</v>
      </c>
      <c r="C222" s="554">
        <f t="shared" si="2"/>
        <v>-2.5721516221263188</v>
      </c>
      <c r="D222" s="555"/>
      <c r="H222" s="170"/>
    </row>
    <row r="223" spans="1:13" s="93" customFormat="1" ht="16.5" customHeight="1">
      <c r="B223" s="99">
        <v>-0.8</v>
      </c>
      <c r="C223" s="554">
        <f t="shared" si="2"/>
        <v>-1.0296385570503641</v>
      </c>
      <c r="D223" s="555"/>
    </row>
    <row r="224" spans="1:13" s="93" customFormat="1" ht="16.5" customHeight="1">
      <c r="B224" s="99">
        <v>0</v>
      </c>
      <c r="C224" s="554">
        <f t="shared" si="2"/>
        <v>0</v>
      </c>
      <c r="D224" s="555"/>
    </row>
    <row r="225" spans="2:4" s="93" customFormat="1" ht="16.5" customHeight="1">
      <c r="B225" s="99">
        <v>0.8</v>
      </c>
      <c r="C225" s="554">
        <f t="shared" si="2"/>
        <v>1.0296385570503641</v>
      </c>
      <c r="D225" s="555"/>
    </row>
    <row r="226" spans="2:4" s="93" customFormat="1" ht="16.5" customHeight="1">
      <c r="B226" s="99">
        <v>1.2</v>
      </c>
      <c r="C226" s="554">
        <f t="shared" si="2"/>
        <v>2.5721516221263188</v>
      </c>
      <c r="D226" s="555"/>
    </row>
    <row r="227" spans="2:4" s="93" customFormat="1" ht="16.5" customHeight="1">
      <c r="B227" s="99">
        <v>1.25</v>
      </c>
      <c r="C227" s="554">
        <f t="shared" si="2"/>
        <v>3.0095696738628313</v>
      </c>
      <c r="D227" s="555"/>
    </row>
    <row r="228" spans="2:4" s="93" customFormat="1" ht="16.5" customHeight="1">
      <c r="B228" s="99">
        <v>1.3</v>
      </c>
      <c r="C228" s="554">
        <f t="shared" si="2"/>
        <v>3.6021024479679786</v>
      </c>
      <c r="D228" s="555"/>
    </row>
    <row r="229" spans="2:4" s="93" customFormat="1" ht="16.5" customHeight="1">
      <c r="B229" s="99">
        <v>1.35</v>
      </c>
      <c r="C229" s="554">
        <f t="shared" si="2"/>
        <v>4.4552217595627051</v>
      </c>
      <c r="D229" s="555"/>
    </row>
    <row r="230" spans="2:4" s="93" customFormat="1" ht="16.5" customHeight="1">
      <c r="B230" s="99">
        <v>1.4</v>
      </c>
      <c r="C230" s="554">
        <f t="shared" si="2"/>
        <v>5.7978837154828868</v>
      </c>
      <c r="D230" s="555"/>
    </row>
    <row r="231" spans="2:4" s="93" customFormat="1" ht="16.5" customHeight="1">
      <c r="B231" s="99">
        <v>1.45</v>
      </c>
      <c r="C231" s="554">
        <f t="shared" si="2"/>
        <v>8.2380927529656045</v>
      </c>
      <c r="D231" s="555"/>
    </row>
    <row r="232" spans="2:4" s="93" customFormat="1" ht="16.5" customHeight="1">
      <c r="B232" s="105">
        <v>1.5</v>
      </c>
      <c r="C232" s="556">
        <f t="shared" si="2"/>
        <v>14.101419947171719</v>
      </c>
      <c r="D232" s="557"/>
    </row>
    <row r="233" spans="2:4" ht="16.5" customHeight="1"/>
    <row r="234" spans="2:4" ht="16.5" customHeight="1"/>
    <row r="235" spans="2:4" ht="16.5" customHeight="1"/>
    <row r="236" spans="2:4" ht="16.5" customHeight="1"/>
    <row r="237" spans="2:4" ht="16.5" customHeight="1"/>
    <row r="238" spans="2:4" ht="16.5" customHeight="1"/>
    <row r="239" spans="2:4" ht="16.5" customHeight="1"/>
    <row r="240" spans="2:4" ht="16.5" customHeight="1"/>
    <row r="241" s="4" customFormat="1" ht="16.5" customHeight="1"/>
    <row r="242" s="4" customFormat="1" ht="16.5" customHeight="1"/>
    <row r="243" s="4" customFormat="1" ht="16.5" customHeight="1"/>
    <row r="244" s="4" customFormat="1" ht="16.5" customHeight="1"/>
    <row r="245" s="4" customFormat="1" ht="16.5" customHeight="1"/>
    <row r="246" s="4" customFormat="1" ht="16.5" customHeight="1"/>
    <row r="247" s="4" customFormat="1" ht="16.5" customHeight="1"/>
    <row r="248" s="4" customFormat="1" ht="16.5" customHeight="1"/>
    <row r="249" s="4" customFormat="1" ht="16.5" customHeight="1"/>
    <row r="250" s="4" customFormat="1" ht="16.5" customHeight="1"/>
    <row r="251" s="4" customFormat="1" ht="16.5" customHeight="1"/>
    <row r="252" s="4" customFormat="1" ht="16.5" customHeight="1"/>
    <row r="253" s="4" customFormat="1" ht="16.5" customHeight="1"/>
    <row r="254" s="4" customFormat="1" ht="16.5" customHeight="1"/>
    <row r="255" s="4" customFormat="1" ht="16.5" customHeight="1"/>
    <row r="256" s="4" customFormat="1" ht="16.5" customHeight="1"/>
    <row r="257" s="4" customFormat="1" ht="16.5" customHeight="1"/>
    <row r="258" s="4" customFormat="1" ht="16.5" customHeight="1"/>
    <row r="259" s="4" customFormat="1" ht="16.5" customHeight="1"/>
    <row r="260" s="4" customFormat="1" ht="16.5" customHeight="1"/>
    <row r="261" s="4" customFormat="1" ht="16.5" customHeight="1"/>
    <row r="262" s="4" customFormat="1" ht="16.5" customHeight="1"/>
    <row r="263" s="4" customFormat="1" ht="16.5" customHeight="1"/>
    <row r="264" s="4" customFormat="1" ht="16.5" customHeight="1"/>
    <row r="265" s="4" customFormat="1" ht="16.5" customHeight="1"/>
    <row r="266" s="4" customFormat="1" ht="16.5" customHeight="1"/>
    <row r="267" s="4" customFormat="1" ht="16.5" customHeight="1"/>
    <row r="268" s="4" customFormat="1" ht="16.5" customHeight="1"/>
    <row r="269" s="4" customFormat="1" ht="16.5" customHeight="1"/>
    <row r="270" s="4" customFormat="1" ht="16.5" customHeight="1"/>
    <row r="271" s="4" customFormat="1" ht="16.5" customHeight="1"/>
    <row r="272" s="4" customFormat="1" ht="16.5" customHeight="1"/>
    <row r="273" s="4" customFormat="1" ht="16.5" customHeight="1"/>
    <row r="274" s="4" customFormat="1" ht="16.5" customHeight="1"/>
    <row r="275" s="4" customFormat="1" ht="16.5" customHeight="1"/>
    <row r="276" s="4" customFormat="1" ht="16.5" customHeight="1"/>
    <row r="277" s="4" customFormat="1" ht="16.5" customHeight="1"/>
    <row r="278" s="4" customFormat="1" ht="16.5" customHeight="1"/>
    <row r="279" s="4" customFormat="1" ht="16.5" customHeight="1"/>
    <row r="280" s="4" customFormat="1" ht="16.5" customHeight="1"/>
    <row r="281" s="4" customFormat="1" ht="16.5" customHeight="1"/>
    <row r="300" spans="1:13" s="88" customFormat="1" ht="26.25" customHeight="1">
      <c r="A300" s="498" t="s">
        <v>205</v>
      </c>
      <c r="B300" s="498"/>
      <c r="C300" s="499"/>
      <c r="D300" s="87"/>
      <c r="E300" s="500" t="str">
        <f>HYPERLINK("#目录!A116","跳转回到目录页")</f>
        <v>跳转回到目录页</v>
      </c>
      <c r="F300" s="501"/>
    </row>
    <row r="301" spans="1:13" s="88" customFormat="1" ht="26.25" customHeight="1">
      <c r="A301" s="502" t="s">
        <v>1216</v>
      </c>
      <c r="B301" s="502"/>
      <c r="C301" s="503" t="s">
        <v>206</v>
      </c>
      <c r="D301" s="503"/>
      <c r="E301" s="503"/>
      <c r="F301" s="503"/>
      <c r="G301" s="503"/>
      <c r="H301" s="503"/>
      <c r="I301" s="503"/>
      <c r="J301" s="503"/>
      <c r="K301" s="503"/>
      <c r="L301" s="503"/>
      <c r="M301" s="503"/>
    </row>
    <row r="302" spans="1:13" s="88" customFormat="1" ht="16.5" customHeight="1">
      <c r="A302" s="496" t="s">
        <v>1217</v>
      </c>
      <c r="B302" s="496"/>
      <c r="C302" s="493" t="s">
        <v>2475</v>
      </c>
      <c r="D302" s="493"/>
      <c r="E302" s="493"/>
      <c r="F302" s="493"/>
      <c r="G302" s="493"/>
      <c r="H302" s="493"/>
      <c r="I302" s="493"/>
      <c r="J302" s="493"/>
      <c r="K302" s="493"/>
      <c r="L302" s="493"/>
      <c r="M302" s="493"/>
    </row>
    <row r="303" spans="1:13" s="88" customFormat="1" ht="16.5" customHeight="1">
      <c r="A303" s="496" t="s">
        <v>5786</v>
      </c>
      <c r="B303" s="496"/>
      <c r="C303" s="497" t="s">
        <v>2476</v>
      </c>
      <c r="D303" s="497"/>
      <c r="E303" s="497"/>
      <c r="F303" s="497"/>
      <c r="G303" s="497"/>
      <c r="H303" s="497"/>
      <c r="I303" s="497"/>
      <c r="J303" s="497"/>
      <c r="K303" s="497"/>
      <c r="L303" s="497"/>
      <c r="M303" s="497"/>
    </row>
    <row r="304" spans="1:13" s="88" customFormat="1" ht="16.5" customHeight="1">
      <c r="A304" s="496" t="s">
        <v>1220</v>
      </c>
      <c r="B304" s="496"/>
      <c r="C304" s="493" t="s">
        <v>2477</v>
      </c>
      <c r="D304" s="493"/>
      <c r="E304" s="493"/>
      <c r="F304" s="493"/>
      <c r="G304" s="493"/>
      <c r="H304" s="493"/>
      <c r="I304" s="493"/>
      <c r="J304" s="493"/>
      <c r="K304" s="493"/>
      <c r="L304" s="493"/>
      <c r="M304" s="493"/>
    </row>
    <row r="305" spans="1:13" s="88" customFormat="1" ht="16.5" customHeight="1">
      <c r="A305" s="496" t="s">
        <v>5785</v>
      </c>
      <c r="B305" s="496"/>
      <c r="C305" s="493" t="s">
        <v>2478</v>
      </c>
      <c r="D305" s="493"/>
      <c r="E305" s="493"/>
      <c r="F305" s="493"/>
      <c r="G305" s="493"/>
      <c r="H305" s="493"/>
      <c r="I305" s="493"/>
      <c r="J305" s="493"/>
      <c r="K305" s="493"/>
      <c r="L305" s="493"/>
      <c r="M305" s="493"/>
    </row>
    <row r="306" spans="1:13" s="88" customFormat="1" ht="16.5" customHeight="1">
      <c r="A306" s="89" t="s">
        <v>1223</v>
      </c>
      <c r="B306" s="92" t="s">
        <v>2200</v>
      </c>
      <c r="C306" s="493" t="s">
        <v>2479</v>
      </c>
      <c r="D306" s="493"/>
      <c r="E306" s="493"/>
      <c r="F306" s="493"/>
      <c r="G306" s="493"/>
      <c r="H306" s="493"/>
      <c r="I306" s="493"/>
      <c r="J306" s="493"/>
      <c r="K306" s="493"/>
      <c r="L306" s="493"/>
      <c r="M306" s="493"/>
    </row>
    <row r="307" spans="1:13" s="88" customFormat="1" ht="16.5" customHeight="1">
      <c r="A307" s="89"/>
      <c r="B307" s="92"/>
      <c r="C307" s="493"/>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16.5" customHeight="1">
      <c r="A310" s="89" t="s">
        <v>1229</v>
      </c>
      <c r="B310" s="493" t="s">
        <v>2480</v>
      </c>
      <c r="C310" s="493"/>
      <c r="D310" s="493"/>
      <c r="E310" s="493"/>
      <c r="F310" s="493"/>
      <c r="G310" s="493"/>
      <c r="H310" s="493"/>
      <c r="I310" s="493"/>
      <c r="J310" s="493"/>
      <c r="K310" s="493"/>
      <c r="L310" s="493"/>
      <c r="M310" s="493"/>
    </row>
    <row r="311" spans="1:13" ht="21" customHeight="1">
      <c r="B311" s="494" t="s">
        <v>1231</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c r="A314" s="93"/>
      <c r="B314" s="93"/>
      <c r="C314" s="93"/>
      <c r="D314" s="93"/>
      <c r="E314" s="93"/>
      <c r="F314" s="93"/>
      <c r="G314" s="93"/>
      <c r="H314" s="93"/>
      <c r="I314" s="93"/>
      <c r="J314" s="93"/>
      <c r="K314" s="93"/>
      <c r="L314" s="93"/>
    </row>
    <row r="315" spans="1:13" ht="16.5" customHeight="1">
      <c r="A315" s="93"/>
      <c r="B315" s="565" t="s">
        <v>2481</v>
      </c>
      <c r="C315" s="565"/>
      <c r="D315" s="565"/>
      <c r="E315" s="565"/>
      <c r="F315" s="565"/>
      <c r="G315" s="565"/>
      <c r="H315" s="565"/>
      <c r="I315" s="565"/>
      <c r="J315" s="93"/>
      <c r="K315" s="93"/>
      <c r="L315" s="93"/>
    </row>
    <row r="316" spans="1:13" ht="16.5" customHeight="1">
      <c r="A316" s="93"/>
      <c r="B316" s="95" t="s">
        <v>2087</v>
      </c>
      <c r="C316" s="188">
        <v>-1</v>
      </c>
      <c r="D316" s="188">
        <v>-0.5</v>
      </c>
      <c r="E316" s="188">
        <v>0</v>
      </c>
      <c r="F316" s="188">
        <v>0.5</v>
      </c>
      <c r="G316" s="188">
        <v>0.70711000000000002</v>
      </c>
      <c r="H316" s="188">
        <v>1</v>
      </c>
      <c r="I316" s="138">
        <v>2</v>
      </c>
      <c r="J316" s="104" t="s">
        <v>1238</v>
      </c>
      <c r="K316" s="93"/>
      <c r="L316" s="93"/>
    </row>
    <row r="317" spans="1:13" ht="16.5" customHeight="1">
      <c r="A317" s="93"/>
      <c r="B317" s="151" t="s">
        <v>2482</v>
      </c>
      <c r="C317" s="113">
        <f t="shared" ref="C317:I317" si="3">ASIN(C316)</f>
        <v>-1.5707963267948966</v>
      </c>
      <c r="D317" s="113">
        <f t="shared" si="3"/>
        <v>-0.52359877559829893</v>
      </c>
      <c r="E317" s="113">
        <f t="shared" si="3"/>
        <v>0</v>
      </c>
      <c r="F317" s="113">
        <f t="shared" si="3"/>
        <v>0.52359877559829893</v>
      </c>
      <c r="G317" s="113">
        <f t="shared" si="3"/>
        <v>0.78540271549744833</v>
      </c>
      <c r="H317" s="113">
        <f t="shared" si="3"/>
        <v>1.5707963267948966</v>
      </c>
      <c r="I317" s="107" t="e">
        <f t="shared" si="3"/>
        <v>#NUM!</v>
      </c>
      <c r="J317" s="108" t="s">
        <v>2483</v>
      </c>
      <c r="K317" s="93"/>
      <c r="L317" s="93"/>
    </row>
    <row r="318" spans="1:13" ht="16.5" customHeight="1">
      <c r="A318" s="93"/>
      <c r="B318" s="93"/>
      <c r="C318" s="93"/>
      <c r="D318" s="93"/>
      <c r="E318" s="93"/>
      <c r="F318" s="93"/>
      <c r="G318" s="93"/>
      <c r="H318" s="93"/>
      <c r="I318" s="93"/>
      <c r="J318" s="93"/>
      <c r="K318" s="93"/>
      <c r="L318" s="93"/>
    </row>
    <row r="319" spans="1:13" ht="16.5" customHeight="1">
      <c r="A319" s="93"/>
      <c r="B319" s="93"/>
      <c r="C319" s="93"/>
      <c r="D319" s="93"/>
      <c r="E319" s="93"/>
      <c r="F319" s="93"/>
      <c r="G319" s="93"/>
      <c r="H319" s="93"/>
      <c r="I319" s="93"/>
      <c r="J319" s="93"/>
      <c r="K319" s="93"/>
      <c r="L319" s="93"/>
    </row>
    <row r="320" spans="1:13" ht="16.5" customHeight="1">
      <c r="A320" s="93"/>
      <c r="B320" s="93"/>
      <c r="C320" s="93"/>
      <c r="D320" s="93"/>
      <c r="E320" s="93"/>
      <c r="F320" s="93"/>
      <c r="G320" s="93"/>
      <c r="H320" s="93"/>
      <c r="I320" s="93"/>
      <c r="J320" s="93"/>
      <c r="K320" s="93"/>
      <c r="L320" s="93"/>
    </row>
    <row r="321" spans="1:12" ht="16.5" customHeight="1">
      <c r="A321" s="93"/>
      <c r="B321" s="93"/>
      <c r="C321" s="93"/>
      <c r="D321" s="93"/>
      <c r="E321" s="93"/>
      <c r="F321" s="93"/>
      <c r="G321" s="93"/>
      <c r="H321" s="93"/>
      <c r="I321" s="93"/>
      <c r="J321" s="93"/>
      <c r="K321" s="93"/>
      <c r="L321" s="93"/>
    </row>
    <row r="322" spans="1:12" ht="16.5" customHeight="1">
      <c r="A322" s="93"/>
      <c r="B322" s="93"/>
      <c r="C322" s="93"/>
      <c r="D322" s="93"/>
      <c r="E322" s="93"/>
      <c r="F322" s="93"/>
      <c r="G322" s="93"/>
      <c r="H322" s="93"/>
      <c r="I322" s="93"/>
      <c r="J322" s="93"/>
      <c r="K322" s="93"/>
      <c r="L322" s="93"/>
    </row>
    <row r="323" spans="1:12" ht="16.5" customHeight="1">
      <c r="A323" s="93"/>
      <c r="B323" s="93"/>
      <c r="C323" s="93"/>
      <c r="D323" s="93"/>
      <c r="E323" s="93"/>
      <c r="F323" s="93"/>
      <c r="G323" s="93"/>
      <c r="H323" s="93"/>
      <c r="I323" s="93"/>
      <c r="J323" s="93"/>
      <c r="K323" s="93"/>
      <c r="L323" s="93"/>
    </row>
    <row r="324" spans="1:12" ht="16.5" customHeight="1">
      <c r="A324" s="93"/>
      <c r="B324" s="93"/>
      <c r="C324" s="93"/>
      <c r="D324" s="93"/>
      <c r="E324" s="93"/>
      <c r="F324" s="93"/>
      <c r="G324" s="93"/>
      <c r="H324" s="93"/>
      <c r="I324" s="93"/>
      <c r="J324" s="93"/>
      <c r="K324" s="93"/>
      <c r="L324" s="93"/>
    </row>
    <row r="325" spans="1:12" ht="16.5" customHeight="1">
      <c r="A325" s="93"/>
      <c r="B325" s="93"/>
      <c r="C325" s="93"/>
      <c r="D325" s="93"/>
      <c r="E325" s="93"/>
      <c r="F325" s="93"/>
      <c r="G325" s="93"/>
      <c r="H325" s="93"/>
      <c r="I325" s="93"/>
      <c r="J325" s="93"/>
      <c r="K325" s="93"/>
      <c r="L325" s="93"/>
    </row>
    <row r="326" spans="1:12" ht="16.5" customHeight="1">
      <c r="A326" s="93"/>
      <c r="B326" s="93"/>
      <c r="C326" s="93"/>
      <c r="D326" s="93"/>
      <c r="E326" s="93"/>
      <c r="F326" s="93"/>
      <c r="G326" s="93"/>
      <c r="H326" s="93"/>
      <c r="I326" s="93"/>
      <c r="J326" s="93"/>
      <c r="K326" s="93"/>
      <c r="L326" s="93"/>
    </row>
    <row r="327" spans="1:12" ht="16.5" customHeight="1">
      <c r="A327" s="93"/>
      <c r="B327" s="93"/>
      <c r="C327" s="93"/>
      <c r="D327" s="93"/>
      <c r="E327" s="93"/>
      <c r="F327" s="93"/>
      <c r="G327" s="93"/>
      <c r="H327" s="93"/>
      <c r="I327" s="93"/>
      <c r="J327" s="93"/>
      <c r="K327" s="93"/>
      <c r="L327" s="93"/>
    </row>
    <row r="328" spans="1:12" ht="16.5" customHeight="1">
      <c r="A328" s="93"/>
      <c r="B328" s="93"/>
      <c r="C328" s="93"/>
      <c r="D328" s="93"/>
      <c r="E328" s="93"/>
      <c r="F328" s="93"/>
      <c r="G328" s="93"/>
      <c r="H328" s="93"/>
      <c r="I328" s="93"/>
      <c r="J328" s="93"/>
      <c r="K328" s="93"/>
      <c r="L328" s="93"/>
    </row>
    <row r="329" spans="1:12" ht="16.5" customHeight="1">
      <c r="A329" s="93"/>
      <c r="B329" s="93"/>
      <c r="C329" s="93"/>
      <c r="D329" s="93"/>
      <c r="E329" s="93"/>
      <c r="F329" s="93"/>
      <c r="G329" s="93"/>
      <c r="H329" s="93"/>
      <c r="I329" s="93"/>
      <c r="J329" s="93"/>
      <c r="K329" s="93"/>
      <c r="L329" s="93"/>
    </row>
    <row r="330" spans="1:12" ht="16.5" customHeight="1">
      <c r="A330" s="93"/>
      <c r="B330" s="93"/>
      <c r="C330" s="93"/>
      <c r="D330" s="93"/>
      <c r="E330" s="93"/>
      <c r="F330" s="93"/>
      <c r="G330" s="93"/>
      <c r="H330" s="93"/>
      <c r="I330" s="93"/>
      <c r="J330" s="93"/>
      <c r="K330" s="93"/>
      <c r="L330" s="93"/>
    </row>
    <row r="331" spans="1:12" ht="16.5" customHeight="1">
      <c r="A331" s="93"/>
      <c r="B331" s="93"/>
      <c r="C331" s="93"/>
      <c r="D331" s="93"/>
      <c r="E331" s="93"/>
      <c r="F331" s="93"/>
      <c r="G331" s="93"/>
      <c r="H331" s="93"/>
      <c r="I331" s="93"/>
      <c r="J331" s="93"/>
      <c r="K331" s="93"/>
      <c r="L331" s="93"/>
    </row>
    <row r="332" spans="1:12" ht="16.5" customHeight="1">
      <c r="A332" s="93"/>
      <c r="B332" s="93"/>
      <c r="C332" s="93"/>
      <c r="D332" s="93"/>
      <c r="E332" s="93"/>
      <c r="F332" s="93"/>
      <c r="G332" s="93"/>
      <c r="H332" s="93"/>
      <c r="I332" s="93"/>
      <c r="J332" s="93"/>
      <c r="K332" s="93"/>
      <c r="L332" s="93"/>
    </row>
    <row r="333" spans="1:12" ht="16.5" customHeight="1">
      <c r="A333" s="93"/>
      <c r="B333" s="93"/>
      <c r="C333" s="93"/>
      <c r="D333" s="93"/>
      <c r="E333" s="93"/>
      <c r="F333" s="93"/>
      <c r="G333" s="93"/>
      <c r="H333" s="93"/>
      <c r="I333" s="93"/>
      <c r="J333" s="93"/>
      <c r="K333" s="93"/>
      <c r="L333" s="93"/>
    </row>
    <row r="334" spans="1:12" ht="16.5" customHeight="1">
      <c r="A334" s="93"/>
      <c r="B334" s="93"/>
      <c r="C334" s="93"/>
      <c r="D334" s="93"/>
      <c r="E334" s="93"/>
      <c r="F334" s="93"/>
      <c r="G334" s="93"/>
      <c r="H334" s="93"/>
      <c r="I334" s="93"/>
      <c r="J334" s="93"/>
      <c r="K334" s="93"/>
      <c r="L334" s="93"/>
    </row>
    <row r="335" spans="1:12" ht="16.5" customHeight="1">
      <c r="A335" s="93"/>
      <c r="B335" s="93"/>
      <c r="C335" s="93"/>
      <c r="D335" s="93"/>
      <c r="E335" s="93"/>
      <c r="F335" s="93"/>
      <c r="G335" s="93"/>
      <c r="H335" s="93"/>
      <c r="I335" s="93"/>
      <c r="J335" s="93"/>
      <c r="K335" s="93"/>
      <c r="L335" s="93"/>
    </row>
    <row r="336" spans="1:12" ht="16.5" customHeight="1">
      <c r="A336" s="93"/>
      <c r="B336" s="93"/>
      <c r="C336" s="93"/>
      <c r="D336" s="93"/>
      <c r="E336" s="93"/>
      <c r="F336" s="93"/>
      <c r="G336" s="93"/>
      <c r="H336" s="93"/>
      <c r="I336" s="93"/>
      <c r="J336" s="93"/>
      <c r="K336" s="93"/>
      <c r="L336" s="93"/>
    </row>
    <row r="337" spans="1:12" ht="16.5" customHeight="1">
      <c r="A337" s="93"/>
      <c r="B337" s="93"/>
      <c r="C337" s="93"/>
      <c r="D337" s="93"/>
      <c r="E337" s="93"/>
      <c r="F337" s="93"/>
      <c r="G337" s="93"/>
      <c r="H337" s="93"/>
      <c r="I337" s="93"/>
      <c r="J337" s="93"/>
      <c r="K337" s="93"/>
      <c r="L337" s="93"/>
    </row>
    <row r="338" spans="1:12" ht="16.5" customHeight="1">
      <c r="A338" s="93"/>
      <c r="B338" s="93"/>
      <c r="C338" s="93"/>
      <c r="D338" s="93"/>
      <c r="E338" s="93"/>
      <c r="F338" s="93"/>
      <c r="G338" s="93"/>
      <c r="H338" s="93"/>
      <c r="I338" s="93"/>
      <c r="J338" s="93"/>
      <c r="K338" s="93"/>
      <c r="L338" s="93"/>
    </row>
    <row r="339" spans="1:12" ht="16.5" customHeight="1">
      <c r="A339" s="93"/>
      <c r="B339" s="93"/>
      <c r="C339" s="93"/>
      <c r="D339" s="93"/>
      <c r="E339" s="93"/>
      <c r="F339" s="93"/>
      <c r="G339" s="93"/>
      <c r="H339" s="93"/>
      <c r="I339" s="93"/>
      <c r="J339" s="93"/>
      <c r="K339" s="93"/>
      <c r="L339" s="93"/>
    </row>
    <row r="340" spans="1:12" ht="16.5" customHeight="1">
      <c r="A340" s="93"/>
      <c r="B340" s="93"/>
      <c r="C340" s="93"/>
      <c r="D340" s="93"/>
      <c r="E340" s="93"/>
      <c r="F340" s="93"/>
      <c r="G340" s="93"/>
      <c r="H340" s="93"/>
      <c r="I340" s="93"/>
      <c r="J340" s="93"/>
      <c r="K340" s="93"/>
      <c r="L340" s="93"/>
    </row>
    <row r="341" spans="1:12" ht="16.5" customHeight="1">
      <c r="A341" s="93"/>
      <c r="B341" s="93"/>
      <c r="C341" s="93"/>
      <c r="D341" s="93"/>
      <c r="E341" s="93"/>
      <c r="F341" s="93"/>
      <c r="G341" s="93"/>
      <c r="H341" s="93"/>
      <c r="I341" s="93"/>
      <c r="J341" s="93"/>
      <c r="K341" s="93"/>
      <c r="L341" s="93"/>
    </row>
    <row r="342" spans="1:12" ht="16.5" customHeight="1">
      <c r="A342" s="93"/>
      <c r="B342" s="93"/>
      <c r="C342" s="93"/>
      <c r="D342" s="93"/>
      <c r="E342" s="93"/>
      <c r="F342" s="93"/>
      <c r="G342" s="93"/>
      <c r="H342" s="93"/>
      <c r="I342" s="93"/>
      <c r="J342" s="93"/>
      <c r="K342" s="93"/>
      <c r="L342" s="93"/>
    </row>
    <row r="343" spans="1:12" ht="16.5" customHeight="1">
      <c r="A343" s="93"/>
      <c r="B343" s="93"/>
      <c r="C343" s="93"/>
      <c r="D343" s="93"/>
      <c r="E343" s="93"/>
      <c r="F343" s="93"/>
      <c r="G343" s="93"/>
      <c r="H343" s="93"/>
      <c r="I343" s="93"/>
      <c r="J343" s="93"/>
      <c r="K343" s="93"/>
      <c r="L343" s="93"/>
    </row>
    <row r="344" spans="1:12" ht="16.5" customHeight="1">
      <c r="A344" s="93"/>
      <c r="B344" s="93"/>
      <c r="C344" s="93"/>
      <c r="D344" s="93"/>
      <c r="E344" s="93"/>
      <c r="F344" s="93"/>
      <c r="G344" s="93"/>
      <c r="H344" s="93"/>
      <c r="I344" s="93"/>
      <c r="J344" s="93"/>
      <c r="K344" s="93"/>
      <c r="L344" s="93"/>
    </row>
    <row r="345" spans="1:12" ht="16.5" customHeight="1">
      <c r="A345" s="93"/>
      <c r="B345" s="93"/>
      <c r="C345" s="93"/>
      <c r="D345" s="93"/>
      <c r="E345" s="93"/>
      <c r="F345" s="93"/>
      <c r="G345" s="93"/>
      <c r="H345" s="93"/>
      <c r="I345" s="93"/>
      <c r="J345" s="93"/>
      <c r="K345" s="93"/>
      <c r="L345" s="93"/>
    </row>
    <row r="346" spans="1:12" ht="16.5" customHeight="1">
      <c r="A346" s="93"/>
      <c r="B346" s="93"/>
      <c r="C346" s="93"/>
      <c r="D346" s="93"/>
      <c r="E346" s="93"/>
      <c r="F346" s="93"/>
      <c r="G346" s="93"/>
      <c r="H346" s="93"/>
      <c r="I346" s="93"/>
      <c r="J346" s="93"/>
      <c r="K346" s="93"/>
      <c r="L346" s="93"/>
    </row>
    <row r="347" spans="1:12" ht="16.5" customHeight="1">
      <c r="A347" s="93"/>
      <c r="B347" s="93"/>
      <c r="C347" s="93"/>
      <c r="D347" s="93"/>
      <c r="E347" s="93"/>
      <c r="F347" s="93"/>
      <c r="G347" s="93"/>
      <c r="H347" s="93"/>
      <c r="I347" s="93"/>
      <c r="J347" s="93"/>
      <c r="K347" s="93"/>
      <c r="L347" s="93"/>
    </row>
    <row r="348" spans="1:12" ht="16.5" customHeight="1">
      <c r="A348" s="93"/>
      <c r="B348" s="93"/>
      <c r="C348" s="93"/>
      <c r="D348" s="93"/>
      <c r="E348" s="93"/>
      <c r="F348" s="93"/>
      <c r="G348" s="93"/>
      <c r="H348" s="93"/>
      <c r="I348" s="93"/>
      <c r="J348" s="93"/>
      <c r="K348" s="93"/>
      <c r="L348" s="93"/>
    </row>
    <row r="349" spans="1:12" ht="16.5" customHeight="1">
      <c r="A349" s="93"/>
      <c r="B349" s="93"/>
      <c r="C349" s="93"/>
      <c r="D349" s="93"/>
      <c r="E349" s="93"/>
      <c r="F349" s="93"/>
      <c r="G349" s="93"/>
      <c r="H349" s="93"/>
      <c r="I349" s="93"/>
      <c r="J349" s="93"/>
      <c r="K349" s="93"/>
      <c r="L349" s="93"/>
    </row>
    <row r="350" spans="1:12" ht="16.5" customHeight="1">
      <c r="A350" s="93"/>
      <c r="B350" s="93"/>
      <c r="C350" s="93"/>
      <c r="D350" s="93"/>
      <c r="E350" s="93"/>
      <c r="F350" s="93"/>
      <c r="G350" s="93"/>
      <c r="H350" s="93"/>
      <c r="I350" s="93"/>
      <c r="J350" s="93"/>
      <c r="K350" s="93"/>
      <c r="L350" s="93"/>
    </row>
    <row r="351" spans="1:12" ht="16.5" customHeight="1">
      <c r="A351" s="93"/>
      <c r="B351" s="93"/>
      <c r="C351" s="93"/>
      <c r="D351" s="93"/>
      <c r="E351" s="93"/>
      <c r="F351" s="93"/>
      <c r="G351" s="93"/>
      <c r="H351" s="93"/>
      <c r="I351" s="93"/>
      <c r="J351" s="93"/>
      <c r="K351" s="93"/>
      <c r="L351" s="93"/>
    </row>
    <row r="352" spans="1:12" ht="16.5" customHeight="1">
      <c r="A352" s="93"/>
      <c r="B352" s="93"/>
      <c r="C352" s="93"/>
      <c r="D352" s="93"/>
      <c r="E352" s="93"/>
      <c r="F352" s="93"/>
      <c r="G352" s="93"/>
      <c r="H352" s="93"/>
      <c r="I352" s="93"/>
      <c r="J352" s="93"/>
      <c r="K352" s="93"/>
      <c r="L352" s="93"/>
    </row>
    <row r="353" spans="1:12" ht="16.5" customHeight="1">
      <c r="A353" s="93"/>
      <c r="B353" s="93"/>
      <c r="C353" s="93"/>
      <c r="D353" s="93"/>
      <c r="E353" s="93"/>
      <c r="F353" s="93"/>
      <c r="G353" s="93"/>
      <c r="H353" s="93"/>
      <c r="I353" s="93"/>
      <c r="J353" s="93"/>
      <c r="K353" s="93"/>
      <c r="L353" s="93"/>
    </row>
    <row r="354" spans="1:12" ht="16.5" customHeight="1">
      <c r="A354" s="93"/>
      <c r="B354" s="93"/>
      <c r="C354" s="93"/>
      <c r="D354" s="93"/>
      <c r="E354" s="93"/>
      <c r="F354" s="93"/>
      <c r="G354" s="93"/>
      <c r="H354" s="93"/>
      <c r="I354" s="93"/>
      <c r="J354" s="93"/>
      <c r="K354" s="93"/>
      <c r="L354" s="93"/>
    </row>
    <row r="355" spans="1:12" ht="16.5" customHeight="1">
      <c r="A355" s="93"/>
      <c r="B355" s="93"/>
      <c r="C355" s="93"/>
      <c r="D355" s="93"/>
      <c r="E355" s="93"/>
      <c r="F355" s="93"/>
      <c r="G355" s="93"/>
      <c r="H355" s="93"/>
      <c r="I355" s="93"/>
      <c r="J355" s="93"/>
      <c r="K355" s="93"/>
      <c r="L355" s="93"/>
    </row>
    <row r="356" spans="1:12" ht="16.5" customHeight="1">
      <c r="A356" s="93"/>
      <c r="B356" s="93"/>
      <c r="C356" s="93"/>
      <c r="D356" s="93"/>
      <c r="E356" s="93"/>
      <c r="F356" s="93"/>
      <c r="G356" s="93"/>
      <c r="H356" s="93"/>
      <c r="I356" s="93"/>
      <c r="J356" s="93"/>
      <c r="K356" s="93"/>
      <c r="L356" s="93"/>
    </row>
    <row r="357" spans="1:12" ht="16.5" customHeight="1">
      <c r="A357" s="93"/>
      <c r="B357" s="93"/>
      <c r="C357" s="93"/>
      <c r="D357" s="93"/>
      <c r="E357" s="93"/>
      <c r="F357" s="93"/>
      <c r="G357" s="93"/>
      <c r="H357" s="93"/>
      <c r="I357" s="93"/>
      <c r="J357" s="93"/>
      <c r="K357" s="93"/>
      <c r="L357" s="93"/>
    </row>
    <row r="358" spans="1:12" ht="16.5" customHeight="1">
      <c r="A358" s="93"/>
      <c r="B358" s="93"/>
      <c r="C358" s="93"/>
      <c r="D358" s="93"/>
      <c r="E358" s="93"/>
      <c r="F358" s="93"/>
      <c r="G358" s="93"/>
      <c r="H358" s="93"/>
      <c r="I358" s="93"/>
      <c r="J358" s="93"/>
      <c r="K358" s="93"/>
      <c r="L358" s="93"/>
    </row>
    <row r="359" spans="1:12" ht="16.5" customHeight="1">
      <c r="A359" s="93"/>
      <c r="B359" s="93"/>
      <c r="C359" s="93"/>
      <c r="D359" s="93"/>
      <c r="E359" s="93"/>
      <c r="F359" s="93"/>
      <c r="G359" s="93"/>
      <c r="H359" s="93"/>
      <c r="I359" s="93"/>
      <c r="J359" s="93"/>
      <c r="K359" s="93"/>
      <c r="L359" s="93"/>
    </row>
    <row r="360" spans="1:12" ht="16.5" customHeight="1">
      <c r="A360" s="93"/>
      <c r="B360" s="93"/>
      <c r="C360" s="93"/>
      <c r="D360" s="93"/>
      <c r="E360" s="93"/>
      <c r="F360" s="93"/>
      <c r="G360" s="93"/>
      <c r="H360" s="93"/>
      <c r="I360" s="93"/>
      <c r="J360" s="93"/>
      <c r="K360" s="93"/>
      <c r="L360" s="93"/>
    </row>
    <row r="361" spans="1:12" ht="16.5" customHeight="1">
      <c r="A361" s="93"/>
      <c r="B361" s="93"/>
      <c r="C361" s="93"/>
      <c r="D361" s="93"/>
      <c r="E361" s="93"/>
      <c r="F361" s="93"/>
      <c r="G361" s="93"/>
      <c r="H361" s="93"/>
      <c r="I361" s="93"/>
      <c r="J361" s="93"/>
      <c r="K361" s="93"/>
      <c r="L361" s="93"/>
    </row>
    <row r="362" spans="1:12" ht="16.5" customHeight="1">
      <c r="A362" s="93"/>
      <c r="B362" s="93"/>
      <c r="C362" s="93"/>
      <c r="D362" s="93"/>
      <c r="E362" s="93"/>
      <c r="F362" s="93"/>
      <c r="G362" s="93"/>
      <c r="H362" s="93"/>
      <c r="I362" s="93"/>
      <c r="J362" s="93"/>
      <c r="K362" s="93"/>
      <c r="L362" s="93"/>
    </row>
    <row r="363" spans="1:12" ht="16.5" customHeight="1">
      <c r="A363" s="93"/>
      <c r="B363" s="93"/>
      <c r="C363" s="93"/>
      <c r="D363" s="93"/>
      <c r="E363" s="93"/>
      <c r="F363" s="93"/>
      <c r="G363" s="93"/>
      <c r="H363" s="93"/>
      <c r="I363" s="93"/>
      <c r="J363" s="93"/>
      <c r="K363" s="93"/>
      <c r="L363" s="93"/>
    </row>
    <row r="364" spans="1:12" ht="16.5" customHeight="1">
      <c r="A364" s="93"/>
      <c r="B364" s="93"/>
      <c r="C364" s="93"/>
      <c r="D364" s="93"/>
      <c r="E364" s="93"/>
      <c r="F364" s="93"/>
      <c r="G364" s="93"/>
      <c r="H364" s="93"/>
      <c r="I364" s="93"/>
      <c r="J364" s="93"/>
      <c r="K364" s="93"/>
      <c r="L364" s="93"/>
    </row>
    <row r="365" spans="1:12" ht="16.5" customHeight="1">
      <c r="A365" s="93"/>
      <c r="B365" s="93"/>
      <c r="C365" s="93"/>
      <c r="D365" s="93"/>
      <c r="E365" s="93"/>
      <c r="F365" s="93"/>
      <c r="G365" s="93"/>
      <c r="H365" s="93"/>
      <c r="I365" s="93"/>
      <c r="J365" s="93"/>
      <c r="K365" s="93"/>
      <c r="L365" s="93"/>
    </row>
    <row r="366" spans="1:12" ht="16.5" customHeight="1">
      <c r="A366" s="93"/>
      <c r="B366" s="93"/>
      <c r="C366" s="93"/>
      <c r="D366" s="93"/>
      <c r="E366" s="93"/>
      <c r="F366" s="93"/>
      <c r="G366" s="93"/>
      <c r="H366" s="93"/>
      <c r="I366" s="93"/>
      <c r="J366" s="93"/>
      <c r="K366" s="93"/>
      <c r="L366" s="93"/>
    </row>
    <row r="367" spans="1:12" ht="16.5" customHeight="1">
      <c r="A367" s="93"/>
      <c r="B367" s="93"/>
      <c r="C367" s="93"/>
      <c r="D367" s="93"/>
      <c r="E367" s="93"/>
      <c r="F367" s="93"/>
      <c r="G367" s="93"/>
      <c r="H367" s="93"/>
      <c r="I367" s="93"/>
      <c r="J367" s="93"/>
      <c r="K367" s="93"/>
      <c r="L367" s="93"/>
    </row>
    <row r="368" spans="1:12" ht="16.5" customHeight="1">
      <c r="A368" s="93"/>
      <c r="B368" s="93"/>
      <c r="C368" s="93"/>
      <c r="D368" s="93"/>
      <c r="E368" s="93"/>
      <c r="F368" s="93"/>
      <c r="G368" s="93"/>
      <c r="H368" s="93"/>
      <c r="I368" s="93"/>
      <c r="J368" s="93"/>
      <c r="K368" s="93"/>
      <c r="L368" s="93"/>
    </row>
    <row r="369" spans="1:12" ht="16.5" customHeight="1">
      <c r="A369" s="93"/>
      <c r="B369" s="93"/>
      <c r="C369" s="93"/>
      <c r="D369" s="93"/>
      <c r="E369" s="93"/>
      <c r="F369" s="93"/>
      <c r="G369" s="93"/>
      <c r="H369" s="93"/>
      <c r="I369" s="93"/>
      <c r="J369" s="93"/>
      <c r="K369" s="93"/>
      <c r="L369" s="93"/>
    </row>
    <row r="370" spans="1:12" ht="16.5" customHeight="1">
      <c r="A370" s="93"/>
      <c r="B370" s="93"/>
      <c r="C370" s="93"/>
      <c r="D370" s="93"/>
      <c r="E370" s="93"/>
      <c r="F370" s="93"/>
      <c r="G370" s="93"/>
      <c r="H370" s="93"/>
      <c r="I370" s="93"/>
      <c r="J370" s="93"/>
      <c r="K370" s="93"/>
      <c r="L370" s="93"/>
    </row>
    <row r="371" spans="1:12" ht="16.5" customHeight="1">
      <c r="A371" s="93"/>
      <c r="B371" s="93"/>
      <c r="C371" s="93"/>
      <c r="D371" s="93"/>
      <c r="E371" s="93"/>
      <c r="F371" s="93"/>
      <c r="G371" s="93"/>
      <c r="H371" s="93"/>
      <c r="I371" s="93"/>
      <c r="J371" s="93"/>
      <c r="K371" s="93"/>
      <c r="L371" s="93"/>
    </row>
    <row r="372" spans="1:12" ht="16.5" customHeight="1">
      <c r="A372" s="93"/>
      <c r="B372" s="93"/>
      <c r="C372" s="93"/>
      <c r="D372" s="93"/>
      <c r="E372" s="93"/>
      <c r="F372" s="93"/>
      <c r="G372" s="93"/>
      <c r="H372" s="93"/>
      <c r="I372" s="93"/>
      <c r="J372" s="93"/>
      <c r="K372" s="93"/>
      <c r="L372" s="93"/>
    </row>
    <row r="373" spans="1:12" ht="16.5" customHeight="1">
      <c r="A373" s="93"/>
      <c r="B373" s="93"/>
      <c r="C373" s="93"/>
      <c r="D373" s="93"/>
      <c r="E373" s="93"/>
      <c r="F373" s="93"/>
      <c r="G373" s="93"/>
      <c r="H373" s="93"/>
      <c r="I373" s="93"/>
      <c r="J373" s="93"/>
      <c r="K373" s="93"/>
      <c r="L373" s="93"/>
    </row>
    <row r="374" spans="1:12" ht="16.5" customHeight="1">
      <c r="A374" s="93"/>
      <c r="B374" s="93"/>
      <c r="C374" s="93"/>
      <c r="D374" s="93"/>
      <c r="E374" s="93"/>
      <c r="F374" s="93"/>
      <c r="G374" s="93"/>
      <c r="H374" s="93"/>
      <c r="I374" s="93"/>
      <c r="J374" s="93"/>
      <c r="K374" s="93"/>
      <c r="L374" s="93"/>
    </row>
    <row r="375" spans="1:12" ht="16.5" customHeight="1">
      <c r="A375" s="93"/>
      <c r="B375" s="93"/>
      <c r="C375" s="93"/>
      <c r="D375" s="93"/>
      <c r="E375" s="93"/>
      <c r="F375" s="93"/>
      <c r="G375" s="93"/>
      <c r="H375" s="93"/>
      <c r="I375" s="93"/>
      <c r="J375" s="93"/>
      <c r="K375" s="93"/>
      <c r="L375" s="93"/>
    </row>
    <row r="376" spans="1:12" ht="16.5" customHeight="1">
      <c r="A376" s="93"/>
      <c r="B376" s="93"/>
      <c r="C376" s="93"/>
      <c r="D376" s="93"/>
      <c r="E376" s="93"/>
      <c r="F376" s="93"/>
      <c r="G376" s="93"/>
      <c r="H376" s="93"/>
      <c r="I376" s="93"/>
      <c r="J376" s="93"/>
      <c r="K376" s="93"/>
      <c r="L376" s="93"/>
    </row>
    <row r="377" spans="1:12" ht="16.5" customHeight="1">
      <c r="A377" s="93"/>
      <c r="B377" s="93"/>
      <c r="C377" s="93"/>
      <c r="D377" s="93"/>
      <c r="E377" s="93"/>
      <c r="F377" s="93"/>
      <c r="G377" s="93"/>
      <c r="H377" s="93"/>
      <c r="I377" s="93"/>
      <c r="J377" s="93"/>
      <c r="K377" s="93"/>
      <c r="L377" s="93"/>
    </row>
    <row r="378" spans="1:12" ht="16.5" customHeight="1">
      <c r="A378" s="93"/>
      <c r="B378" s="93"/>
      <c r="C378" s="93"/>
      <c r="D378" s="93"/>
      <c r="E378" s="93"/>
      <c r="F378" s="93"/>
      <c r="G378" s="93"/>
      <c r="H378" s="93"/>
      <c r="I378" s="93"/>
      <c r="J378" s="93"/>
      <c r="K378" s="93"/>
      <c r="L378" s="93"/>
    </row>
    <row r="379" spans="1:12" ht="16.5" customHeight="1">
      <c r="A379" s="93"/>
      <c r="B379" s="93"/>
      <c r="C379" s="93"/>
      <c r="D379" s="93"/>
      <c r="E379" s="93"/>
      <c r="F379" s="93"/>
      <c r="G379" s="93"/>
      <c r="H379" s="93"/>
      <c r="I379" s="93"/>
      <c r="J379" s="93"/>
      <c r="K379" s="93"/>
      <c r="L379" s="93"/>
    </row>
    <row r="380" spans="1:12" ht="16.5" customHeight="1">
      <c r="A380" s="93"/>
      <c r="B380" s="93"/>
      <c r="C380" s="93"/>
      <c r="D380" s="93"/>
      <c r="E380" s="93"/>
      <c r="F380" s="93"/>
      <c r="G380" s="93"/>
      <c r="H380" s="93"/>
      <c r="I380" s="93"/>
      <c r="J380" s="93"/>
      <c r="K380" s="93"/>
      <c r="L380" s="93"/>
    </row>
    <row r="381" spans="1:12" ht="16.5" customHeight="1">
      <c r="A381" s="93"/>
      <c r="B381" s="93"/>
      <c r="C381" s="93"/>
      <c r="D381" s="93"/>
      <c r="E381" s="93"/>
      <c r="F381" s="93"/>
      <c r="G381" s="93"/>
      <c r="H381" s="93"/>
      <c r="I381" s="93"/>
      <c r="J381" s="93"/>
      <c r="K381" s="93"/>
      <c r="L381" s="93"/>
    </row>
    <row r="382" spans="1:12">
      <c r="A382" s="93"/>
      <c r="B382" s="93"/>
      <c r="C382" s="93"/>
      <c r="D382" s="93"/>
      <c r="E382" s="93"/>
      <c r="F382" s="93"/>
      <c r="G382" s="93"/>
      <c r="H382" s="93"/>
      <c r="I382" s="93"/>
      <c r="J382" s="93"/>
      <c r="K382" s="93"/>
      <c r="L382" s="93"/>
    </row>
    <row r="383" spans="1:12">
      <c r="A383" s="93"/>
      <c r="B383" s="93"/>
      <c r="C383" s="93"/>
      <c r="D383" s="93"/>
      <c r="E383" s="93"/>
      <c r="F383" s="93"/>
      <c r="G383" s="93"/>
      <c r="H383" s="93"/>
      <c r="I383" s="93"/>
      <c r="J383" s="93"/>
      <c r="K383" s="93"/>
      <c r="L383" s="93"/>
    </row>
    <row r="384" spans="1:12">
      <c r="A384" s="93"/>
      <c r="B384" s="93"/>
      <c r="C384" s="93"/>
      <c r="D384" s="93"/>
      <c r="E384" s="93"/>
      <c r="F384" s="93"/>
      <c r="G384" s="93"/>
      <c r="H384" s="93"/>
      <c r="I384" s="93"/>
      <c r="J384" s="93"/>
      <c r="K384" s="93"/>
      <c r="L384" s="93"/>
    </row>
    <row r="385" spans="1:12">
      <c r="A385" s="93"/>
      <c r="B385" s="93"/>
      <c r="C385" s="93"/>
      <c r="D385" s="93"/>
      <c r="E385" s="93"/>
      <c r="F385" s="93"/>
      <c r="G385" s="93"/>
      <c r="H385" s="93"/>
      <c r="I385" s="93"/>
      <c r="J385" s="93"/>
      <c r="K385" s="93"/>
      <c r="L385" s="93"/>
    </row>
    <row r="386" spans="1:12">
      <c r="A386" s="93"/>
      <c r="B386" s="93"/>
      <c r="C386" s="93"/>
      <c r="D386" s="93"/>
      <c r="E386" s="93"/>
      <c r="F386" s="93"/>
      <c r="G386" s="93"/>
      <c r="H386" s="93"/>
      <c r="I386" s="93"/>
      <c r="J386" s="93"/>
      <c r="K386" s="93"/>
      <c r="L386" s="93"/>
    </row>
    <row r="387" spans="1:12">
      <c r="A387" s="93"/>
      <c r="B387" s="93"/>
      <c r="C387" s="93"/>
      <c r="D387" s="93"/>
      <c r="E387" s="93"/>
      <c r="F387" s="93"/>
      <c r="G387" s="93"/>
      <c r="H387" s="93"/>
      <c r="I387" s="93"/>
      <c r="J387" s="93"/>
      <c r="K387" s="93"/>
      <c r="L387" s="93"/>
    </row>
    <row r="388" spans="1:12">
      <c r="A388" s="93"/>
      <c r="B388" s="93"/>
      <c r="C388" s="93"/>
      <c r="D388" s="93"/>
      <c r="E388" s="93"/>
      <c r="F388" s="93"/>
      <c r="G388" s="93"/>
      <c r="H388" s="93"/>
      <c r="I388" s="93"/>
      <c r="J388" s="93"/>
      <c r="K388" s="93"/>
      <c r="L388" s="93"/>
    </row>
    <row r="400" spans="1:12" s="88" customFormat="1" ht="26.25" customHeight="1">
      <c r="A400" s="498" t="s">
        <v>207</v>
      </c>
      <c r="B400" s="498"/>
      <c r="C400" s="499"/>
      <c r="D400" s="87"/>
      <c r="E400" s="500" t="str">
        <f>HYPERLINK("#目录!A117","跳转回到目录页")</f>
        <v>跳转回到目录页</v>
      </c>
      <c r="F400" s="501"/>
    </row>
    <row r="401" spans="1:13" s="88" customFormat="1" ht="26.25" customHeight="1">
      <c r="A401" s="502" t="s">
        <v>1216</v>
      </c>
      <c r="B401" s="502"/>
      <c r="C401" s="503" t="s">
        <v>208</v>
      </c>
      <c r="D401" s="503"/>
      <c r="E401" s="503"/>
      <c r="F401" s="503"/>
      <c r="G401" s="503"/>
      <c r="H401" s="503"/>
      <c r="I401" s="503"/>
      <c r="J401" s="503"/>
      <c r="K401" s="503"/>
      <c r="L401" s="503"/>
      <c r="M401" s="503"/>
    </row>
    <row r="402" spans="1:13" s="88" customFormat="1" ht="16.5" customHeight="1">
      <c r="A402" s="496" t="s">
        <v>1217</v>
      </c>
      <c r="B402" s="496"/>
      <c r="C402" s="493" t="s">
        <v>2484</v>
      </c>
      <c r="D402" s="493"/>
      <c r="E402" s="493"/>
      <c r="F402" s="493"/>
      <c r="G402" s="493"/>
      <c r="H402" s="493"/>
      <c r="I402" s="493"/>
      <c r="J402" s="493"/>
      <c r="K402" s="493"/>
      <c r="L402" s="493"/>
      <c r="M402" s="493"/>
    </row>
    <row r="403" spans="1:13" s="88" customFormat="1" ht="16.5" customHeight="1">
      <c r="A403" s="496" t="s">
        <v>5786</v>
      </c>
      <c r="B403" s="496"/>
      <c r="C403" s="497" t="s">
        <v>208</v>
      </c>
      <c r="D403" s="497"/>
      <c r="E403" s="497"/>
      <c r="F403" s="497"/>
      <c r="G403" s="497"/>
      <c r="H403" s="497"/>
      <c r="I403" s="497"/>
      <c r="J403" s="497"/>
      <c r="K403" s="497"/>
      <c r="L403" s="497"/>
      <c r="M403" s="497"/>
    </row>
    <row r="404" spans="1:13" s="88" customFormat="1" ht="16.5" customHeight="1">
      <c r="A404" s="496" t="s">
        <v>1220</v>
      </c>
      <c r="B404" s="496"/>
      <c r="C404" s="493" t="s">
        <v>2485</v>
      </c>
      <c r="D404" s="493"/>
      <c r="E404" s="493"/>
      <c r="F404" s="493"/>
      <c r="G404" s="493"/>
      <c r="H404" s="493"/>
      <c r="I404" s="493"/>
      <c r="J404" s="493"/>
      <c r="K404" s="493"/>
      <c r="L404" s="493"/>
      <c r="M404" s="493"/>
    </row>
    <row r="405" spans="1:13" s="88" customFormat="1" ht="16.5" customHeight="1">
      <c r="A405" s="496" t="s">
        <v>5785</v>
      </c>
      <c r="B405" s="496"/>
      <c r="C405" s="493" t="s">
        <v>2486</v>
      </c>
      <c r="D405" s="493"/>
      <c r="E405" s="493"/>
      <c r="F405" s="493"/>
      <c r="G405" s="493"/>
      <c r="H405" s="493"/>
      <c r="I405" s="493"/>
      <c r="J405" s="493"/>
      <c r="K405" s="493"/>
      <c r="L405" s="493"/>
      <c r="M405" s="493"/>
    </row>
    <row r="406" spans="1:13" s="88" customFormat="1" ht="16.5" customHeight="1">
      <c r="A406" s="89" t="s">
        <v>1223</v>
      </c>
      <c r="B406" s="92" t="s">
        <v>2200</v>
      </c>
      <c r="C406" s="493" t="s">
        <v>2487</v>
      </c>
      <c r="D406" s="493"/>
      <c r="E406" s="493"/>
      <c r="F406" s="493"/>
      <c r="G406" s="493"/>
      <c r="H406" s="493"/>
      <c r="I406" s="493"/>
      <c r="J406" s="493"/>
      <c r="K406" s="493"/>
      <c r="L406" s="493"/>
      <c r="M406" s="493"/>
    </row>
    <row r="407" spans="1:13" s="88" customFormat="1" ht="16.5" customHeight="1">
      <c r="A407" s="89"/>
      <c r="B407" s="92"/>
      <c r="C407" s="493"/>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16.5" customHeight="1">
      <c r="A410" s="89" t="s">
        <v>1229</v>
      </c>
      <c r="B410" s="493" t="s">
        <v>2488</v>
      </c>
      <c r="C410" s="493"/>
      <c r="D410" s="493"/>
      <c r="E410" s="493"/>
      <c r="F410" s="493"/>
      <c r="G410" s="493"/>
      <c r="H410" s="493"/>
      <c r="I410" s="493"/>
      <c r="J410" s="493"/>
      <c r="K410" s="493"/>
      <c r="L410" s="493"/>
      <c r="M410" s="493"/>
    </row>
    <row r="411" spans="1:13" ht="21" customHeight="1">
      <c r="B411" s="494" t="s">
        <v>1231</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4" spans="1:13" ht="16.5" customHeight="1"/>
    <row r="415" spans="1:13" ht="16.5" customHeight="1">
      <c r="B415" s="518" t="s">
        <v>208</v>
      </c>
      <c r="C415" s="518"/>
      <c r="D415" s="518"/>
      <c r="E415" s="518"/>
      <c r="F415" s="518"/>
      <c r="G415" s="518"/>
      <c r="H415" s="518"/>
      <c r="I415" s="518"/>
    </row>
    <row r="416" spans="1:13" ht="16.5" customHeight="1">
      <c r="B416" s="95" t="s">
        <v>2087</v>
      </c>
      <c r="C416" s="188">
        <v>-1</v>
      </c>
      <c r="D416" s="188">
        <v>-0.5</v>
      </c>
      <c r="E416" s="188">
        <v>0</v>
      </c>
      <c r="F416" s="188">
        <v>0.5</v>
      </c>
      <c r="G416" s="188">
        <v>0.70711000000000002</v>
      </c>
      <c r="H416" s="188">
        <v>1</v>
      </c>
      <c r="I416" s="138">
        <v>2</v>
      </c>
      <c r="J416" s="104" t="s">
        <v>1238</v>
      </c>
    </row>
    <row r="417" spans="2:10" ht="16.5" customHeight="1">
      <c r="B417" s="151" t="s">
        <v>1456</v>
      </c>
      <c r="C417" s="113">
        <f t="shared" ref="C417:I417" si="4">ACOS(C416)</f>
        <v>3.1415926535897931</v>
      </c>
      <c r="D417" s="113">
        <f t="shared" si="4"/>
        <v>2.0943951023931957</v>
      </c>
      <c r="E417" s="113">
        <f t="shared" si="4"/>
        <v>1.5707963267948966</v>
      </c>
      <c r="F417" s="113">
        <f t="shared" si="4"/>
        <v>1.0471975511965976</v>
      </c>
      <c r="G417" s="113">
        <f t="shared" si="4"/>
        <v>0.78539361129744822</v>
      </c>
      <c r="H417" s="113">
        <f t="shared" si="4"/>
        <v>0</v>
      </c>
      <c r="I417" s="107" t="e">
        <f t="shared" si="4"/>
        <v>#NUM!</v>
      </c>
      <c r="J417" s="108" t="s">
        <v>2489</v>
      </c>
    </row>
    <row r="418" spans="2:10" ht="16.5" customHeight="1"/>
    <row r="419" spans="2:10" ht="16.5" customHeight="1"/>
    <row r="420" spans="2:10" ht="16.5" customHeight="1"/>
    <row r="421" spans="2:10" ht="16.5" customHeight="1"/>
    <row r="422" spans="2:10" ht="16.5" customHeight="1"/>
    <row r="500" spans="1:13" s="88" customFormat="1" ht="26.25" customHeight="1">
      <c r="A500" s="498" t="s">
        <v>209</v>
      </c>
      <c r="B500" s="498"/>
      <c r="C500" s="499"/>
      <c r="D500" s="87"/>
      <c r="E500" s="500" t="str">
        <f>HYPERLINK("#目录!A118","跳转回到目录页")</f>
        <v>跳转回到目录页</v>
      </c>
      <c r="F500" s="501"/>
    </row>
    <row r="501" spans="1:13" s="88" customFormat="1" ht="26.25" customHeight="1">
      <c r="A501" s="502" t="s">
        <v>1216</v>
      </c>
      <c r="B501" s="502"/>
      <c r="C501" s="503" t="s">
        <v>210</v>
      </c>
      <c r="D501" s="503"/>
      <c r="E501" s="503"/>
      <c r="F501" s="503"/>
      <c r="G501" s="503"/>
      <c r="H501" s="503"/>
      <c r="I501" s="503"/>
      <c r="J501" s="503"/>
      <c r="K501" s="503"/>
      <c r="L501" s="503"/>
      <c r="M501" s="503"/>
    </row>
    <row r="502" spans="1:13" s="88" customFormat="1" ht="16.5" customHeight="1">
      <c r="A502" s="496" t="s">
        <v>1217</v>
      </c>
      <c r="B502" s="496"/>
      <c r="C502" s="493" t="s">
        <v>2490</v>
      </c>
      <c r="D502" s="493"/>
      <c r="E502" s="493"/>
      <c r="F502" s="493"/>
      <c r="G502" s="493"/>
      <c r="H502" s="493"/>
      <c r="I502" s="493"/>
      <c r="J502" s="493"/>
      <c r="K502" s="493"/>
      <c r="L502" s="493"/>
      <c r="M502" s="493"/>
    </row>
    <row r="503" spans="1:13" s="88" customFormat="1" ht="16.5" customHeight="1">
      <c r="A503" s="496" t="s">
        <v>5786</v>
      </c>
      <c r="B503" s="496"/>
      <c r="C503" s="497" t="s">
        <v>210</v>
      </c>
      <c r="D503" s="497"/>
      <c r="E503" s="497"/>
      <c r="F503" s="497"/>
      <c r="G503" s="497"/>
      <c r="H503" s="497"/>
      <c r="I503" s="497"/>
      <c r="J503" s="497"/>
      <c r="K503" s="497"/>
      <c r="L503" s="497"/>
      <c r="M503" s="497"/>
    </row>
    <row r="504" spans="1:13" s="88" customFormat="1" ht="16.5" customHeight="1">
      <c r="A504" s="496" t="s">
        <v>1220</v>
      </c>
      <c r="B504" s="496"/>
      <c r="C504" s="493" t="s">
        <v>2491</v>
      </c>
      <c r="D504" s="493"/>
      <c r="E504" s="493"/>
      <c r="F504" s="493"/>
      <c r="G504" s="493"/>
      <c r="H504" s="493"/>
      <c r="I504" s="493"/>
      <c r="J504" s="493"/>
      <c r="K504" s="493"/>
      <c r="L504" s="493"/>
      <c r="M504" s="493"/>
    </row>
    <row r="505" spans="1:13" s="88" customFormat="1" ht="16.5" customHeight="1">
      <c r="A505" s="496" t="s">
        <v>5785</v>
      </c>
      <c r="B505" s="496"/>
      <c r="C505" s="493" t="s">
        <v>2492</v>
      </c>
      <c r="D505" s="493"/>
      <c r="E505" s="493"/>
      <c r="F505" s="493"/>
      <c r="G505" s="493"/>
      <c r="H505" s="493"/>
      <c r="I505" s="493"/>
      <c r="J505" s="493"/>
      <c r="K505" s="493"/>
      <c r="L505" s="493"/>
      <c r="M505" s="493"/>
    </row>
    <row r="506" spans="1:13" s="88" customFormat="1" ht="16.5" customHeight="1">
      <c r="A506" s="89" t="s">
        <v>1223</v>
      </c>
      <c r="B506" s="92" t="s">
        <v>2200</v>
      </c>
      <c r="C506" s="493" t="s">
        <v>2493</v>
      </c>
      <c r="D506" s="493"/>
      <c r="E506" s="493"/>
      <c r="F506" s="493"/>
      <c r="G506" s="493"/>
      <c r="H506" s="493"/>
      <c r="I506" s="493"/>
      <c r="J506" s="493"/>
      <c r="K506" s="493"/>
      <c r="L506" s="493"/>
      <c r="M506" s="493"/>
    </row>
    <row r="507" spans="1:13" s="88" customFormat="1" ht="16.5" customHeight="1">
      <c r="A507" s="89"/>
      <c r="B507" s="92"/>
      <c r="C507" s="493"/>
      <c r="D507" s="493"/>
      <c r="E507" s="493"/>
      <c r="F507" s="493"/>
      <c r="G507" s="493"/>
      <c r="H507" s="493"/>
      <c r="I507" s="493"/>
      <c r="J507" s="493"/>
      <c r="K507" s="493"/>
      <c r="L507" s="493"/>
      <c r="M507" s="493"/>
    </row>
    <row r="508" spans="1:13" s="88" customFormat="1" ht="16.5" customHeight="1">
      <c r="A508" s="89"/>
      <c r="B508" s="90"/>
      <c r="C508" s="493"/>
      <c r="D508" s="493"/>
      <c r="E508" s="493"/>
      <c r="F508" s="493"/>
      <c r="G508" s="493"/>
      <c r="H508" s="493"/>
      <c r="I508" s="493"/>
      <c r="J508" s="493"/>
      <c r="K508" s="493"/>
      <c r="L508" s="493"/>
      <c r="M508" s="493"/>
    </row>
    <row r="509" spans="1:13" s="88" customFormat="1" ht="16.5" customHeight="1">
      <c r="A509" s="89" t="s">
        <v>1228</v>
      </c>
      <c r="B509" s="493"/>
      <c r="C509" s="493"/>
      <c r="D509" s="493"/>
      <c r="E509" s="493"/>
      <c r="F509" s="493"/>
      <c r="G509" s="493"/>
      <c r="H509" s="493"/>
      <c r="I509" s="493"/>
      <c r="J509" s="493"/>
      <c r="K509" s="493"/>
      <c r="L509" s="493"/>
      <c r="M509" s="493"/>
    </row>
    <row r="510" spans="1:13" ht="16.5" customHeight="1">
      <c r="A510" s="89" t="s">
        <v>1229</v>
      </c>
      <c r="B510" s="493" t="s">
        <v>2494</v>
      </c>
      <c r="C510" s="493"/>
      <c r="D510" s="493"/>
      <c r="E510" s="493"/>
      <c r="F510" s="493"/>
      <c r="G510" s="493"/>
      <c r="H510" s="493"/>
      <c r="I510" s="493"/>
      <c r="J510" s="493"/>
      <c r="K510" s="493"/>
      <c r="L510" s="493"/>
      <c r="M510" s="493"/>
    </row>
    <row r="511" spans="1:13" ht="21" customHeight="1">
      <c r="B511" s="494" t="s">
        <v>1231</v>
      </c>
      <c r="C511" s="494"/>
      <c r="D511" s="494"/>
      <c r="E511" s="494"/>
      <c r="F511" s="494"/>
      <c r="G511" s="494"/>
      <c r="H511" s="494"/>
      <c r="I511" s="494"/>
      <c r="J511" s="494"/>
      <c r="K511" s="494"/>
      <c r="L511" s="495"/>
    </row>
    <row r="512" spans="1:13" s="93" customFormat="1" ht="16.5" customHeight="1"/>
    <row r="513" spans="1:10" s="93" customFormat="1" ht="16.5" customHeight="1">
      <c r="A513" s="94" t="s">
        <v>1232</v>
      </c>
      <c r="B513" s="93" t="s">
        <v>1773</v>
      </c>
    </row>
    <row r="514" spans="1:10" ht="16.5" customHeight="1">
      <c r="A514" s="93"/>
      <c r="B514" s="93"/>
      <c r="C514" s="93"/>
      <c r="D514" s="93"/>
      <c r="E514" s="93"/>
      <c r="F514" s="93"/>
      <c r="G514" s="93"/>
      <c r="H514" s="93"/>
      <c r="I514" s="93"/>
      <c r="J514" s="93"/>
    </row>
    <row r="515" spans="1:10" ht="16.5" customHeight="1">
      <c r="A515" s="93"/>
      <c r="B515" s="518" t="s">
        <v>210</v>
      </c>
      <c r="C515" s="518"/>
      <c r="D515" s="518"/>
      <c r="E515" s="518"/>
      <c r="F515" s="518"/>
      <c r="G515" s="518"/>
      <c r="H515" s="518"/>
      <c r="I515" s="518"/>
      <c r="J515" s="93"/>
    </row>
    <row r="516" spans="1:10" ht="16.5" customHeight="1">
      <c r="A516" s="93"/>
      <c r="B516" s="95" t="s">
        <v>2087</v>
      </c>
      <c r="C516" s="188">
        <v>-100000</v>
      </c>
      <c r="D516" s="188">
        <v>-1</v>
      </c>
      <c r="E516" s="188">
        <v>-0.5</v>
      </c>
      <c r="F516" s="188">
        <v>0</v>
      </c>
      <c r="G516" s="188">
        <v>0.5</v>
      </c>
      <c r="H516" s="188">
        <v>1</v>
      </c>
      <c r="I516" s="138">
        <v>100000</v>
      </c>
      <c r="J516" s="104" t="s">
        <v>1238</v>
      </c>
    </row>
    <row r="517" spans="1:10" ht="16.5" customHeight="1">
      <c r="A517" s="93"/>
      <c r="B517" s="151" t="s">
        <v>2495</v>
      </c>
      <c r="C517" s="113">
        <f t="shared" ref="C517:I517" si="5">ATAN(C516)</f>
        <v>-1.5707863267948969</v>
      </c>
      <c r="D517" s="113">
        <f t="shared" si="5"/>
        <v>-0.78539816339744828</v>
      </c>
      <c r="E517" s="113">
        <f t="shared" si="5"/>
        <v>-0.46364760900080609</v>
      </c>
      <c r="F517" s="113">
        <f t="shared" si="5"/>
        <v>0</v>
      </c>
      <c r="G517" s="113">
        <f t="shared" si="5"/>
        <v>0.46364760900080609</v>
      </c>
      <c r="H517" s="113">
        <f t="shared" si="5"/>
        <v>0.78539816339744828</v>
      </c>
      <c r="I517" s="107">
        <f t="shared" si="5"/>
        <v>1.5707863267948969</v>
      </c>
      <c r="J517" s="108" t="s">
        <v>2496</v>
      </c>
    </row>
    <row r="518" spans="1:10" ht="16.5" customHeight="1">
      <c r="A518" s="93"/>
      <c r="B518" s="93"/>
      <c r="C518" s="93"/>
      <c r="D518" s="93"/>
      <c r="E518" s="93"/>
      <c r="F518" s="93"/>
      <c r="G518" s="93"/>
      <c r="H518" s="93"/>
      <c r="I518" s="93"/>
      <c r="J518" s="93"/>
    </row>
    <row r="519" spans="1:10" ht="16.5" customHeight="1"/>
    <row r="600" spans="1:13" s="88" customFormat="1" ht="26.25" customHeight="1">
      <c r="A600" s="498" t="s">
        <v>211</v>
      </c>
      <c r="B600" s="498"/>
      <c r="C600" s="499"/>
      <c r="D600" s="87"/>
      <c r="E600" s="500" t="str">
        <f>HYPERLINK("#目录!A119","跳转回到目录页")</f>
        <v>跳转回到目录页</v>
      </c>
      <c r="F600" s="501"/>
    </row>
    <row r="601" spans="1:13" s="88" customFormat="1" ht="26.25" customHeight="1">
      <c r="A601" s="502" t="s">
        <v>1216</v>
      </c>
      <c r="B601" s="502"/>
      <c r="C601" s="503" t="s">
        <v>212</v>
      </c>
      <c r="D601" s="503"/>
      <c r="E601" s="503"/>
      <c r="F601" s="503"/>
      <c r="G601" s="503"/>
      <c r="H601" s="503"/>
      <c r="I601" s="503"/>
      <c r="J601" s="503"/>
      <c r="K601" s="503"/>
      <c r="L601" s="503"/>
      <c r="M601" s="503"/>
    </row>
    <row r="602" spans="1:13" s="88" customFormat="1" ht="24.75" customHeight="1">
      <c r="A602" s="496" t="s">
        <v>1217</v>
      </c>
      <c r="B602" s="496"/>
      <c r="C602" s="493" t="s">
        <v>2497</v>
      </c>
      <c r="D602" s="493"/>
      <c r="E602" s="493"/>
      <c r="F602" s="493"/>
      <c r="G602" s="493"/>
      <c r="H602" s="493"/>
      <c r="I602" s="493"/>
      <c r="J602" s="493"/>
      <c r="K602" s="493"/>
      <c r="L602" s="493"/>
      <c r="M602" s="493"/>
    </row>
    <row r="603" spans="1:13" s="88" customFormat="1" ht="16.5" customHeight="1">
      <c r="A603" s="496" t="s">
        <v>5786</v>
      </c>
      <c r="B603" s="496"/>
      <c r="C603" s="497" t="s">
        <v>212</v>
      </c>
      <c r="D603" s="497"/>
      <c r="E603" s="497"/>
      <c r="F603" s="497"/>
      <c r="G603" s="497"/>
      <c r="H603" s="497"/>
      <c r="I603" s="497"/>
      <c r="J603" s="497"/>
      <c r="K603" s="497"/>
      <c r="L603" s="497"/>
      <c r="M603" s="497"/>
    </row>
    <row r="604" spans="1:13" s="88" customFormat="1" ht="16.5" customHeight="1">
      <c r="A604" s="496" t="s">
        <v>1220</v>
      </c>
      <c r="B604" s="496"/>
      <c r="C604" s="493" t="s">
        <v>2498</v>
      </c>
      <c r="D604" s="493"/>
      <c r="E604" s="493"/>
      <c r="F604" s="493"/>
      <c r="G604" s="493"/>
      <c r="H604" s="493"/>
      <c r="I604" s="493"/>
      <c r="J604" s="493"/>
      <c r="K604" s="493"/>
      <c r="L604" s="493"/>
      <c r="M604" s="493"/>
    </row>
    <row r="605" spans="1:13" s="88" customFormat="1" ht="16.5" customHeight="1">
      <c r="A605" s="496" t="s">
        <v>5785</v>
      </c>
      <c r="B605" s="496"/>
      <c r="C605" s="493" t="s">
        <v>2499</v>
      </c>
      <c r="D605" s="493"/>
      <c r="E605" s="493"/>
      <c r="F605" s="493"/>
      <c r="G605" s="493"/>
      <c r="H605" s="493"/>
      <c r="I605" s="493"/>
      <c r="J605" s="493"/>
      <c r="K605" s="493"/>
      <c r="L605" s="493"/>
      <c r="M605" s="493"/>
    </row>
    <row r="606" spans="1:13" s="88" customFormat="1" ht="16.5" customHeight="1">
      <c r="A606" s="89" t="s">
        <v>1223</v>
      </c>
      <c r="B606" s="92" t="s">
        <v>2500</v>
      </c>
      <c r="C606" s="493" t="s">
        <v>2501</v>
      </c>
      <c r="D606" s="493"/>
      <c r="E606" s="493"/>
      <c r="F606" s="493"/>
      <c r="G606" s="493"/>
      <c r="H606" s="493"/>
      <c r="I606" s="493"/>
      <c r="J606" s="493"/>
      <c r="K606" s="493"/>
      <c r="L606" s="493"/>
      <c r="M606" s="493"/>
    </row>
    <row r="607" spans="1:13" s="88" customFormat="1" ht="16.5" customHeight="1">
      <c r="A607" s="89"/>
      <c r="B607" s="92" t="s">
        <v>2502</v>
      </c>
      <c r="C607" s="493" t="s">
        <v>2503</v>
      </c>
      <c r="D607" s="493"/>
      <c r="E607" s="493"/>
      <c r="F607" s="493"/>
      <c r="G607" s="493"/>
      <c r="H607" s="493"/>
      <c r="I607" s="493"/>
      <c r="J607" s="493"/>
      <c r="K607" s="493"/>
      <c r="L607" s="493"/>
      <c r="M607" s="493"/>
    </row>
    <row r="608" spans="1:13" s="88" customFormat="1" ht="16.5" customHeight="1">
      <c r="A608" s="89"/>
      <c r="B608" s="90"/>
      <c r="C608" s="493"/>
      <c r="D608" s="493"/>
      <c r="E608" s="493"/>
      <c r="F608" s="493"/>
      <c r="G608" s="493"/>
      <c r="H608" s="493"/>
      <c r="I608" s="493"/>
      <c r="J608" s="493"/>
      <c r="K608" s="493"/>
      <c r="L608" s="493"/>
      <c r="M608" s="493"/>
    </row>
    <row r="609" spans="1:13" s="88" customFormat="1" ht="16.5" customHeight="1">
      <c r="A609" s="89" t="s">
        <v>1228</v>
      </c>
      <c r="B609" s="493"/>
      <c r="C609" s="493"/>
      <c r="D609" s="493"/>
      <c r="E609" s="493"/>
      <c r="F609" s="493"/>
      <c r="G609" s="493"/>
      <c r="H609" s="493"/>
      <c r="I609" s="493"/>
      <c r="J609" s="493"/>
      <c r="K609" s="493"/>
      <c r="L609" s="493"/>
      <c r="M609" s="493"/>
    </row>
    <row r="610" spans="1:13" ht="51.75" customHeight="1">
      <c r="A610" s="89" t="s">
        <v>1229</v>
      </c>
      <c r="B610" s="493" t="s">
        <v>2504</v>
      </c>
      <c r="C610" s="493"/>
      <c r="D610" s="493"/>
      <c r="E610" s="493"/>
      <c r="F610" s="493"/>
      <c r="G610" s="493"/>
      <c r="H610" s="493"/>
      <c r="I610" s="493"/>
      <c r="J610" s="493"/>
      <c r="K610" s="493"/>
      <c r="L610" s="493"/>
      <c r="M610" s="493"/>
    </row>
    <row r="611" spans="1:13" ht="21" customHeight="1">
      <c r="B611" s="494" t="s">
        <v>1231</v>
      </c>
      <c r="C611" s="494"/>
      <c r="D611" s="494"/>
      <c r="E611" s="494"/>
      <c r="F611" s="494"/>
      <c r="G611" s="494"/>
      <c r="H611" s="494"/>
      <c r="I611" s="494"/>
      <c r="J611" s="494"/>
      <c r="K611" s="494"/>
      <c r="L611" s="495"/>
    </row>
    <row r="612" spans="1:13" s="93" customFormat="1" ht="16.5" customHeight="1"/>
    <row r="613" spans="1:13" s="93" customFormat="1" ht="16.5" customHeight="1">
      <c r="A613" s="94" t="s">
        <v>1232</v>
      </c>
      <c r="B613" s="93" t="s">
        <v>1773</v>
      </c>
    </row>
    <row r="614" spans="1:13" ht="16.5" customHeight="1"/>
    <row r="615" spans="1:13" ht="16.5" customHeight="1">
      <c r="A615" s="93"/>
      <c r="B615" s="565" t="s">
        <v>212</v>
      </c>
      <c r="C615" s="565"/>
      <c r="D615" s="565"/>
      <c r="E615" s="565"/>
      <c r="F615" s="565"/>
      <c r="G615" s="565"/>
      <c r="H615" s="565"/>
      <c r="I615" s="565"/>
    </row>
    <row r="616" spans="1:13" ht="16.5" customHeight="1">
      <c r="A616" s="93"/>
      <c r="B616" s="137" t="s">
        <v>2505</v>
      </c>
      <c r="C616" s="188">
        <v>1</v>
      </c>
      <c r="D616" s="188">
        <v>1</v>
      </c>
      <c r="E616" s="188">
        <v>0</v>
      </c>
      <c r="F616" s="188">
        <v>-1</v>
      </c>
      <c r="G616" s="188">
        <v>1</v>
      </c>
      <c r="H616" s="188">
        <v>0</v>
      </c>
      <c r="I616" s="138">
        <v>3</v>
      </c>
    </row>
    <row r="617" spans="1:13" ht="16.5" customHeight="1">
      <c r="A617" s="93"/>
      <c r="B617" s="139" t="s">
        <v>2495</v>
      </c>
      <c r="C617" s="110">
        <v>1</v>
      </c>
      <c r="D617" s="110">
        <v>1.732051</v>
      </c>
      <c r="E617" s="110">
        <v>1</v>
      </c>
      <c r="F617" s="110">
        <v>0</v>
      </c>
      <c r="G617" s="110">
        <v>0</v>
      </c>
      <c r="H617" s="110">
        <v>-1</v>
      </c>
      <c r="I617" s="101">
        <v>4</v>
      </c>
      <c r="J617" s="104" t="s">
        <v>1238</v>
      </c>
    </row>
    <row r="618" spans="1:13" ht="16.5" customHeight="1">
      <c r="A618" s="93"/>
      <c r="B618" s="140" t="s">
        <v>2506</v>
      </c>
      <c r="C618" s="113">
        <f t="shared" ref="C618:I618" si="6">ATAN2(C616,C617)</f>
        <v>0.78539816339744828</v>
      </c>
      <c r="D618" s="113">
        <f t="shared" si="6"/>
        <v>1.0471975993043745</v>
      </c>
      <c r="E618" s="113">
        <f t="shared" si="6"/>
        <v>1.5707963267948966</v>
      </c>
      <c r="F618" s="113">
        <f t="shared" si="6"/>
        <v>3.1415926535897931</v>
      </c>
      <c r="G618" s="113">
        <f t="shared" si="6"/>
        <v>0</v>
      </c>
      <c r="H618" s="113">
        <f t="shared" si="6"/>
        <v>-1.5707963267948966</v>
      </c>
      <c r="I618" s="107">
        <f t="shared" si="6"/>
        <v>0.92729521800161219</v>
      </c>
      <c r="J618" s="108" t="s">
        <v>2507</v>
      </c>
    </row>
    <row r="619" spans="1:13" ht="16.5" customHeight="1">
      <c r="A619" s="93"/>
      <c r="B619" s="93"/>
      <c r="C619" s="93"/>
      <c r="D619" s="93"/>
      <c r="E619" s="93"/>
      <c r="F619" s="93"/>
      <c r="G619" s="93"/>
      <c r="H619" s="93"/>
      <c r="I619" s="93"/>
    </row>
    <row r="620" spans="1:13" ht="16.5" customHeight="1">
      <c r="A620" s="93"/>
      <c r="B620" s="93"/>
      <c r="C620" s="93"/>
      <c r="D620" s="93"/>
      <c r="E620" s="93"/>
      <c r="F620" s="93"/>
      <c r="G620" s="93"/>
      <c r="H620" s="93"/>
      <c r="I620" s="93"/>
    </row>
    <row r="621" spans="1:13">
      <c r="A621" s="93"/>
      <c r="B621" s="93"/>
      <c r="C621" s="93"/>
      <c r="D621" s="93"/>
      <c r="E621" s="93"/>
      <c r="F621" s="93"/>
      <c r="G621" s="93"/>
      <c r="H621" s="93"/>
      <c r="I621" s="93"/>
    </row>
  </sheetData>
  <mergeCells count="170">
    <mergeCell ref="A4:B4"/>
    <mergeCell ref="C4:M4"/>
    <mergeCell ref="A5:B5"/>
    <mergeCell ref="C5:M5"/>
    <mergeCell ref="A6:B6"/>
    <mergeCell ref="C6:M6"/>
    <mergeCell ref="A1:C1"/>
    <mergeCell ref="E1:F1"/>
    <mergeCell ref="A2:B2"/>
    <mergeCell ref="C2:M2"/>
    <mergeCell ref="A3:B3"/>
    <mergeCell ref="C3:M3"/>
    <mergeCell ref="B16:D16"/>
    <mergeCell ref="C17:D17"/>
    <mergeCell ref="C18:D18"/>
    <mergeCell ref="C19:D19"/>
    <mergeCell ref="C20:D20"/>
    <mergeCell ref="C21:D21"/>
    <mergeCell ref="C7:M7"/>
    <mergeCell ref="C8:M8"/>
    <mergeCell ref="C9:M9"/>
    <mergeCell ref="B10:M10"/>
    <mergeCell ref="B11:M11"/>
    <mergeCell ref="B12:L12"/>
    <mergeCell ref="E100:F100"/>
    <mergeCell ref="A101:B101"/>
    <mergeCell ref="C101:M101"/>
    <mergeCell ref="A102:B102"/>
    <mergeCell ref="C102:M102"/>
    <mergeCell ref="A103:B103"/>
    <mergeCell ref="C103:M103"/>
    <mergeCell ref="C22:D22"/>
    <mergeCell ref="C23:D23"/>
    <mergeCell ref="C24:D24"/>
    <mergeCell ref="C25:D25"/>
    <mergeCell ref="C26:D26"/>
    <mergeCell ref="A100:C100"/>
    <mergeCell ref="C108:M108"/>
    <mergeCell ref="B109:M109"/>
    <mergeCell ref="B110:M110"/>
    <mergeCell ref="B111:L111"/>
    <mergeCell ref="B115:D115"/>
    <mergeCell ref="C116:D116"/>
    <mergeCell ref="A104:B104"/>
    <mergeCell ref="C104:M104"/>
    <mergeCell ref="A105:B105"/>
    <mergeCell ref="C105:M105"/>
    <mergeCell ref="C106:M106"/>
    <mergeCell ref="C107:M107"/>
    <mergeCell ref="C123:D123"/>
    <mergeCell ref="C124:D124"/>
    <mergeCell ref="C125:D125"/>
    <mergeCell ref="A200:C200"/>
    <mergeCell ref="E200:F200"/>
    <mergeCell ref="A201:B201"/>
    <mergeCell ref="C201:M201"/>
    <mergeCell ref="C117:D117"/>
    <mergeCell ref="C118:D118"/>
    <mergeCell ref="C119:D119"/>
    <mergeCell ref="C120:D120"/>
    <mergeCell ref="C121:D121"/>
    <mergeCell ref="C122:D122"/>
    <mergeCell ref="A205:B205"/>
    <mergeCell ref="C205:M205"/>
    <mergeCell ref="C206:M206"/>
    <mergeCell ref="C207:M207"/>
    <mergeCell ref="C208:M208"/>
    <mergeCell ref="B209:M209"/>
    <mergeCell ref="A202:B202"/>
    <mergeCell ref="C202:M202"/>
    <mergeCell ref="A203:B203"/>
    <mergeCell ref="C203:M203"/>
    <mergeCell ref="A204:B204"/>
    <mergeCell ref="C204:M204"/>
    <mergeCell ref="C219:D219"/>
    <mergeCell ref="C220:D220"/>
    <mergeCell ref="C221:D221"/>
    <mergeCell ref="C222:D222"/>
    <mergeCell ref="C223:D223"/>
    <mergeCell ref="C224:D224"/>
    <mergeCell ref="B210:M210"/>
    <mergeCell ref="B211:L211"/>
    <mergeCell ref="B215:D215"/>
    <mergeCell ref="C216:D216"/>
    <mergeCell ref="C217:D217"/>
    <mergeCell ref="C218:D218"/>
    <mergeCell ref="C231:D231"/>
    <mergeCell ref="C232:D232"/>
    <mergeCell ref="A300:C300"/>
    <mergeCell ref="E300:F300"/>
    <mergeCell ref="A301:B301"/>
    <mergeCell ref="C301:M301"/>
    <mergeCell ref="C225:D225"/>
    <mergeCell ref="C226:D226"/>
    <mergeCell ref="C227:D227"/>
    <mergeCell ref="C228:D228"/>
    <mergeCell ref="C229:D229"/>
    <mergeCell ref="C230:D230"/>
    <mergeCell ref="A305:B305"/>
    <mergeCell ref="C305:M305"/>
    <mergeCell ref="C306:M306"/>
    <mergeCell ref="C307:M307"/>
    <mergeCell ref="C308:M308"/>
    <mergeCell ref="B309:M309"/>
    <mergeCell ref="A302:B302"/>
    <mergeCell ref="C302:M302"/>
    <mergeCell ref="A303:B303"/>
    <mergeCell ref="C303:M303"/>
    <mergeCell ref="A304:B304"/>
    <mergeCell ref="C304:M304"/>
    <mergeCell ref="A402:B402"/>
    <mergeCell ref="C402:M402"/>
    <mergeCell ref="A403:B403"/>
    <mergeCell ref="C403:M403"/>
    <mergeCell ref="A404:B404"/>
    <mergeCell ref="C404:M404"/>
    <mergeCell ref="B310:M310"/>
    <mergeCell ref="B311:L311"/>
    <mergeCell ref="B315:I315"/>
    <mergeCell ref="A400:C400"/>
    <mergeCell ref="E400:F400"/>
    <mergeCell ref="A401:B401"/>
    <mergeCell ref="C401:M401"/>
    <mergeCell ref="B410:M410"/>
    <mergeCell ref="B411:L411"/>
    <mergeCell ref="B415:I415"/>
    <mergeCell ref="A500:C500"/>
    <mergeCell ref="E500:F500"/>
    <mergeCell ref="A501:B501"/>
    <mergeCell ref="C501:M501"/>
    <mergeCell ref="A405:B405"/>
    <mergeCell ref="C405:M405"/>
    <mergeCell ref="C406:M406"/>
    <mergeCell ref="C407:M407"/>
    <mergeCell ref="C408:M408"/>
    <mergeCell ref="B409:M409"/>
    <mergeCell ref="A505:B505"/>
    <mergeCell ref="C505:M505"/>
    <mergeCell ref="C506:M506"/>
    <mergeCell ref="C507:M507"/>
    <mergeCell ref="C508:M508"/>
    <mergeCell ref="B509:M509"/>
    <mergeCell ref="A502:B502"/>
    <mergeCell ref="C502:M502"/>
    <mergeCell ref="A503:B503"/>
    <mergeCell ref="C503:M503"/>
    <mergeCell ref="A504:B504"/>
    <mergeCell ref="C504:M504"/>
    <mergeCell ref="A602:B602"/>
    <mergeCell ref="C602:M602"/>
    <mergeCell ref="A603:B603"/>
    <mergeCell ref="C603:M603"/>
    <mergeCell ref="A604:B604"/>
    <mergeCell ref="C604:M604"/>
    <mergeCell ref="B510:M510"/>
    <mergeCell ref="B511:L511"/>
    <mergeCell ref="B515:I515"/>
    <mergeCell ref="A600:C600"/>
    <mergeCell ref="E600:F600"/>
    <mergeCell ref="A601:B601"/>
    <mergeCell ref="C601:M601"/>
    <mergeCell ref="B610:M610"/>
    <mergeCell ref="B611:L611"/>
    <mergeCell ref="B615:I615"/>
    <mergeCell ref="A605:B605"/>
    <mergeCell ref="C605:M605"/>
    <mergeCell ref="C606:M606"/>
    <mergeCell ref="C607:M607"/>
    <mergeCell ref="C608:M608"/>
    <mergeCell ref="B609:M609"/>
  </mergeCells>
  <phoneticPr fontId="2" type="noConversion"/>
  <pageMargins left="0.75" right="0.75" top="1" bottom="1" header="0.5" footer="0.5"/>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V217"/>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187</v>
      </c>
      <c r="B1" s="498"/>
      <c r="C1" s="499"/>
      <c r="D1" s="87"/>
      <c r="E1" s="500" t="str">
        <f>HYPERLINK("#目录!A107","跳转回到目录页")</f>
        <v>跳转回到目录页</v>
      </c>
      <c r="F1" s="501"/>
    </row>
    <row r="2" spans="1:48" s="88" customFormat="1" ht="26.25" customHeight="1">
      <c r="A2" s="502" t="s">
        <v>1216</v>
      </c>
      <c r="B2" s="502"/>
      <c r="C2" s="503" t="s">
        <v>188</v>
      </c>
      <c r="D2" s="503"/>
      <c r="E2" s="503"/>
      <c r="F2" s="503"/>
      <c r="G2" s="503"/>
      <c r="H2" s="503"/>
      <c r="I2" s="503"/>
      <c r="J2" s="503"/>
      <c r="K2" s="503"/>
      <c r="L2" s="503"/>
      <c r="M2" s="503"/>
    </row>
    <row r="3" spans="1:48" s="88" customFormat="1" ht="16.5" customHeight="1">
      <c r="A3" s="496" t="s">
        <v>1217</v>
      </c>
      <c r="B3" s="496"/>
      <c r="C3" s="493" t="s">
        <v>2508</v>
      </c>
      <c r="D3" s="493"/>
      <c r="E3" s="493"/>
      <c r="F3" s="493"/>
      <c r="G3" s="493"/>
      <c r="H3" s="493"/>
      <c r="I3" s="493"/>
      <c r="J3" s="493"/>
      <c r="K3" s="493"/>
      <c r="L3" s="493"/>
      <c r="M3" s="493"/>
    </row>
    <row r="4" spans="1:48" s="88" customFormat="1" ht="16.5" customHeight="1">
      <c r="A4" s="496" t="s">
        <v>5786</v>
      </c>
      <c r="B4" s="496"/>
      <c r="C4" s="497" t="s">
        <v>5938</v>
      </c>
      <c r="D4" s="497"/>
      <c r="E4" s="497"/>
      <c r="F4" s="497"/>
      <c r="G4" s="497"/>
      <c r="H4" s="497"/>
      <c r="I4" s="497"/>
      <c r="J4" s="497"/>
      <c r="K4" s="497"/>
      <c r="L4" s="497"/>
      <c r="M4" s="497"/>
    </row>
    <row r="5" spans="1:48" s="88" customFormat="1" ht="16.5" customHeight="1">
      <c r="A5" s="496" t="s">
        <v>1220</v>
      </c>
      <c r="B5" s="496"/>
      <c r="C5" s="493" t="s">
        <v>2509</v>
      </c>
      <c r="D5" s="493"/>
      <c r="E5" s="493"/>
      <c r="F5" s="493"/>
      <c r="G5" s="493"/>
      <c r="H5" s="493"/>
      <c r="I5" s="493"/>
      <c r="J5" s="493"/>
      <c r="K5" s="493"/>
      <c r="L5" s="493"/>
      <c r="M5" s="493"/>
    </row>
    <row r="6" spans="1:48" s="88" customFormat="1" ht="16.5" customHeight="1">
      <c r="A6" s="496" t="s">
        <v>5785</v>
      </c>
      <c r="B6" s="496"/>
      <c r="C6" s="493" t="s">
        <v>2509</v>
      </c>
      <c r="D6" s="493"/>
      <c r="E6" s="493"/>
      <c r="F6" s="493"/>
      <c r="G6" s="493"/>
      <c r="H6" s="493"/>
      <c r="I6" s="493"/>
      <c r="J6" s="493"/>
      <c r="K6" s="493"/>
      <c r="L6" s="493"/>
      <c r="M6" s="493"/>
    </row>
    <row r="7" spans="1:48" s="88" customFormat="1" ht="16.5" customHeight="1">
      <c r="A7" s="89" t="s">
        <v>1223</v>
      </c>
      <c r="B7" s="92"/>
      <c r="C7" s="493" t="s">
        <v>2510</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493"/>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116" t="s">
        <v>188</v>
      </c>
      <c r="C16" s="104" t="s">
        <v>1238</v>
      </c>
      <c r="F16" s="4"/>
      <c r="G16" s="4"/>
      <c r="H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2:48" s="93" customFormat="1" ht="16.5" customHeight="1">
      <c r="B17" s="93">
        <f>PI()</f>
        <v>3.1415926535897931</v>
      </c>
      <c r="C17" s="108" t="s">
        <v>2511</v>
      </c>
      <c r="F17" s="4"/>
      <c r="G17" s="4"/>
      <c r="H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2:48" s="93" customFormat="1" ht="16.5" customHeight="1">
      <c r="F18" s="4"/>
      <c r="G18" s="4"/>
      <c r="H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2:48" s="93" customFormat="1" ht="16.5" customHeight="1">
      <c r="F19" s="4"/>
      <c r="G19" s="4"/>
      <c r="H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2:48" s="93" customFormat="1" ht="16.5" customHeight="1">
      <c r="F20" s="4"/>
      <c r="G20" s="4"/>
      <c r="H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2:48" s="93" customFormat="1" ht="16.5" customHeight="1">
      <c r="F21" s="4"/>
      <c r="G21" s="4"/>
      <c r="H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2:48" s="93" customFormat="1" ht="16.5" customHeight="1">
      <c r="F22" s="4"/>
      <c r="G22" s="4"/>
      <c r="H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2:48" s="93" customFormat="1" ht="16.5" customHeight="1">
      <c r="F23" s="4"/>
      <c r="G23" s="4"/>
      <c r="H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2:48" s="93" customFormat="1" ht="16.5" customHeight="1">
      <c r="F24" s="4"/>
      <c r="G24" s="4"/>
      <c r="H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2:48" s="93" customFormat="1" ht="16.5" customHeight="1">
      <c r="F25" s="4"/>
      <c r="G25" s="4"/>
      <c r="H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2:48" s="93" customFormat="1" ht="16.5" customHeight="1">
      <c r="F26" s="4"/>
      <c r="G26" s="4"/>
      <c r="H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2:48" s="93" customFormat="1" ht="16.5" customHeight="1">
      <c r="F27" s="4"/>
      <c r="G27" s="4"/>
      <c r="H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2:48" s="93" customFormat="1" ht="16.5" customHeight="1">
      <c r="F28" s="4"/>
      <c r="G28" s="4"/>
      <c r="H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2:48" s="93" customFormat="1" ht="16.5" customHeight="1">
      <c r="F29" s="4"/>
      <c r="G29" s="4"/>
      <c r="H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2:48" s="93" customFormat="1" ht="16.5" customHeight="1">
      <c r="F30" s="4"/>
      <c r="G30" s="4"/>
      <c r="H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2:48" s="93" customFormat="1" ht="16.5" customHeight="1">
      <c r="F31" s="4"/>
      <c r="G31" s="4"/>
      <c r="H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2:48" s="93" customFormat="1" ht="16.5" customHeight="1">
      <c r="F32" s="4"/>
      <c r="G32" s="4"/>
      <c r="H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6:48" s="93" customFormat="1" ht="16.5" customHeight="1">
      <c r="F33" s="4"/>
      <c r="G33" s="4"/>
      <c r="H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6:48" s="93" customFormat="1" ht="16.5" customHeight="1">
      <c r="F34" s="4"/>
      <c r="G34" s="4"/>
      <c r="H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6:48" s="93" customFormat="1" ht="16.5" customHeight="1">
      <c r="F35" s="4"/>
      <c r="G35" s="4"/>
      <c r="H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6:48" s="93" customFormat="1" ht="16.5" customHeight="1">
      <c r="F36" s="4"/>
      <c r="G36" s="4"/>
      <c r="H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6:48" s="93" customFormat="1" ht="16.5" customHeight="1">
      <c r="F37" s="4"/>
      <c r="G37" s="4"/>
      <c r="H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6:48" s="93" customFormat="1" ht="16.5" customHeight="1">
      <c r="F38" s="4"/>
      <c r="G38" s="4"/>
      <c r="H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6:48" s="93" customFormat="1" ht="16.5" customHeight="1">
      <c r="F39" s="4"/>
      <c r="G39" s="4"/>
      <c r="H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6:48" s="93" customFormat="1" ht="16.5" customHeight="1">
      <c r="F40" s="4"/>
      <c r="G40" s="4"/>
      <c r="H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6:48" s="93" customFormat="1" ht="16.5" customHeight="1">
      <c r="F41" s="4"/>
      <c r="G41" s="4"/>
      <c r="H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6:48" s="93" customFormat="1" ht="16.5" customHeight="1">
      <c r="F42" s="4"/>
      <c r="G42" s="4"/>
      <c r="H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6:48" s="93" customFormat="1" ht="16.5" customHeight="1">
      <c r="F43" s="4"/>
      <c r="G43" s="4"/>
      <c r="H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6:48" s="93" customFormat="1" ht="16.5" customHeight="1">
      <c r="F44" s="4"/>
      <c r="G44" s="4"/>
      <c r="H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6:48" s="93" customFormat="1" ht="16.5" customHeight="1">
      <c r="F45" s="4"/>
      <c r="G45" s="4"/>
      <c r="H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6:48" s="93" customFormat="1" ht="16.5" customHeight="1">
      <c r="F46" s="4"/>
      <c r="G46" s="4"/>
      <c r="H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6:48" s="93" customFormat="1" ht="16.5" customHeight="1">
      <c r="F47" s="4"/>
      <c r="G47" s="4"/>
      <c r="H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6:48" s="93" customFormat="1" ht="16.5" customHeight="1">
      <c r="F48" s="4"/>
      <c r="G48" s="4"/>
      <c r="H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6:48" s="93" customFormat="1" ht="16.5" customHeight="1">
      <c r="F49" s="4"/>
      <c r="G49" s="4"/>
      <c r="H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6:48" s="93" customFormat="1" ht="16.5" customHeight="1">
      <c r="F50" s="4"/>
      <c r="G50" s="4"/>
      <c r="H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6:48" s="93" customFormat="1" ht="16.5" customHeight="1">
      <c r="F51" s="4"/>
      <c r="G51" s="4"/>
      <c r="H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6:48" s="93" customFormat="1" ht="16.5" customHeight="1">
      <c r="F52" s="4"/>
      <c r="G52" s="4"/>
      <c r="H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6:48" s="93" customFormat="1" ht="16.5" customHeight="1">
      <c r="F53" s="4"/>
      <c r="G53" s="4"/>
      <c r="H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6:48" s="93" customFormat="1" ht="16.5" customHeight="1">
      <c r="F54" s="4"/>
      <c r="G54" s="4"/>
      <c r="H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6:48" s="93" customFormat="1" ht="16.5" customHeight="1">
      <c r="F55" s="4"/>
      <c r="G55" s="4"/>
      <c r="H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6:48" s="93" customFormat="1" ht="16.5" customHeight="1">
      <c r="F56" s="4"/>
      <c r="G56" s="4"/>
      <c r="H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6:48" s="93" customFormat="1" ht="16.5" customHeight="1">
      <c r="F57" s="4"/>
      <c r="G57" s="4"/>
      <c r="H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6:48" s="93" customFormat="1" ht="16.5" customHeight="1">
      <c r="F58" s="4"/>
      <c r="G58" s="4"/>
      <c r="H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6:48" s="93" customFormat="1" ht="16.5" customHeight="1">
      <c r="F59" s="4"/>
      <c r="G59" s="4"/>
      <c r="H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6:48" s="93" customFormat="1" ht="16.5" customHeight="1">
      <c r="F60" s="4"/>
      <c r="G60" s="4"/>
      <c r="H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6:48" s="93" customFormat="1" ht="16.5" customHeight="1">
      <c r="F61" s="4"/>
      <c r="G61" s="4"/>
      <c r="H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6:48" s="93" customFormat="1" ht="16.5" customHeight="1">
      <c r="F62" s="4"/>
      <c r="G62" s="4"/>
      <c r="H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6:48" s="93" customFormat="1" ht="16.5" customHeight="1">
      <c r="F63" s="4"/>
      <c r="G63" s="4"/>
      <c r="H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6:48" s="93" customFormat="1" ht="16.5" customHeight="1">
      <c r="F64" s="4"/>
      <c r="G64" s="4"/>
      <c r="H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6:48" s="93" customFormat="1" ht="16.5" customHeight="1">
      <c r="F65" s="4"/>
      <c r="G65" s="4"/>
      <c r="H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6:48" s="93" customFormat="1" ht="16.5" customHeight="1">
      <c r="F66" s="4"/>
      <c r="G66" s="4"/>
      <c r="H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6:48" s="93" customFormat="1" ht="16.5" customHeight="1">
      <c r="F67" s="4"/>
      <c r="G67" s="4"/>
      <c r="H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6:48" s="93" customFormat="1" ht="16.5" customHeight="1">
      <c r="F68" s="4"/>
      <c r="G68" s="4"/>
      <c r="H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6:48" s="93" customFormat="1" ht="16.5" customHeight="1">
      <c r="F69" s="4"/>
      <c r="G69" s="4"/>
      <c r="H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6:48" s="93" customFormat="1" ht="16.5" customHeight="1">
      <c r="F70" s="4"/>
      <c r="G70" s="4"/>
      <c r="H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6:48" s="93" customFormat="1" ht="16.5" customHeight="1">
      <c r="F71" s="4"/>
      <c r="G71" s="4"/>
      <c r="H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6:48" s="93" customFormat="1" ht="16.5" customHeight="1">
      <c r="F72" s="4"/>
      <c r="G72" s="4"/>
      <c r="H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6:48" s="93" customFormat="1" ht="16.5" customHeight="1">
      <c r="F73" s="4"/>
      <c r="G73" s="4"/>
      <c r="H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6:48" s="93" customFormat="1" ht="16.5" customHeight="1">
      <c r="F74" s="4"/>
      <c r="G74" s="4"/>
      <c r="H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6:48" s="93" customFormat="1" ht="16.5" customHeight="1">
      <c r="F75" s="4"/>
      <c r="G75" s="4"/>
      <c r="H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6:48" s="93" customFormat="1" ht="16.5" customHeight="1">
      <c r="F76" s="4"/>
      <c r="G76" s="4"/>
      <c r="H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6:48" s="93" customFormat="1" ht="16.5" customHeight="1">
      <c r="F77" s="4"/>
      <c r="G77" s="4"/>
      <c r="H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6:48" s="93" customFormat="1" ht="16.5" customHeight="1">
      <c r="F78" s="4"/>
      <c r="G78" s="4"/>
      <c r="H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6:48" s="93" customFormat="1" ht="16.5" customHeight="1">
      <c r="F79" s="4"/>
      <c r="G79" s="4"/>
      <c r="H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6:48" s="93" customFormat="1" ht="16.5" customHeight="1">
      <c r="F80" s="4"/>
      <c r="G80" s="4"/>
      <c r="H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6:48" s="93" customFormat="1" ht="16.5" customHeight="1">
      <c r="F81" s="4"/>
      <c r="G81" s="4"/>
      <c r="H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6:48" s="93" customFormat="1" ht="16.5" customHeight="1">
      <c r="F82" s="4"/>
      <c r="G82" s="4"/>
      <c r="H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6:48" s="93" customFormat="1" ht="16.5" customHeight="1">
      <c r="F83" s="4"/>
      <c r="G83" s="4"/>
      <c r="H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6:48" s="93" customFormat="1" ht="16.5" customHeight="1">
      <c r="F84" s="4"/>
      <c r="G84" s="4"/>
      <c r="H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6:48" s="93" customFormat="1" ht="16.5" customHeight="1">
      <c r="F85" s="4"/>
      <c r="G85" s="4"/>
      <c r="H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6:48" s="93" customFormat="1" ht="16.5" customHeight="1">
      <c r="F86" s="4"/>
      <c r="G86" s="4"/>
      <c r="H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6:48" s="93" customFormat="1" ht="16.5" customHeight="1">
      <c r="F87" s="4"/>
      <c r="G87" s="4"/>
      <c r="H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6:48" s="93" customFormat="1" ht="16.5" customHeight="1">
      <c r="F88" s="4"/>
      <c r="G88" s="4"/>
      <c r="H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6:48" s="93" customFormat="1" ht="16.5" customHeight="1">
      <c r="F89" s="4"/>
      <c r="G89" s="4"/>
      <c r="H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6:48" s="93" customFormat="1" ht="16.5" customHeight="1">
      <c r="F90" s="4"/>
      <c r="G90" s="4"/>
      <c r="H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6:48" s="93" customFormat="1" ht="16.5" customHeight="1">
      <c r="F91" s="4"/>
      <c r="G91" s="4"/>
      <c r="H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6:48" s="93" customFormat="1" ht="16.5" customHeight="1">
      <c r="F92" s="4"/>
      <c r="G92" s="4"/>
      <c r="H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6:48" s="93" customFormat="1" ht="16.5" customHeight="1">
      <c r="F93" s="4"/>
      <c r="G93" s="4"/>
      <c r="H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6:48" s="93" customFormat="1" ht="16.5" customHeight="1">
      <c r="F94" s="4"/>
      <c r="G94" s="4"/>
      <c r="H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6:48" s="93" customFormat="1" ht="16.5" customHeight="1">
      <c r="F95" s="4"/>
      <c r="G95" s="4"/>
      <c r="H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6:48" s="93" customFormat="1" ht="16.5" customHeight="1">
      <c r="F96" s="4"/>
      <c r="G96" s="4"/>
      <c r="H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F97" s="4"/>
      <c r="G97" s="4"/>
      <c r="H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pans="1:48" s="93" customFormat="1" ht="16.5" customHeight="1">
      <c r="F98" s="4"/>
      <c r="G98" s="4"/>
      <c r="H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row>
    <row r="99" spans="1:48" s="93" customFormat="1" ht="16.5" customHeight="1">
      <c r="F99" s="4"/>
      <c r="G99" s="4"/>
      <c r="H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spans="1:48" s="88" customFormat="1" ht="26.25" customHeight="1">
      <c r="A100" s="498" t="s">
        <v>191</v>
      </c>
      <c r="B100" s="498"/>
      <c r="C100" s="499"/>
      <c r="D100" s="87"/>
      <c r="E100" s="500" t="str">
        <f>HYPERLINK("#目录!A109","跳转回到目录页")</f>
        <v>跳转回到目录页</v>
      </c>
      <c r="F100" s="501"/>
    </row>
    <row r="101" spans="1:48" s="88" customFormat="1" ht="26.25" customHeight="1">
      <c r="A101" s="502" t="s">
        <v>1216</v>
      </c>
      <c r="B101" s="502"/>
      <c r="C101" s="503" t="s">
        <v>192</v>
      </c>
      <c r="D101" s="503"/>
      <c r="E101" s="503"/>
      <c r="F101" s="503"/>
      <c r="G101" s="503"/>
      <c r="H101" s="503"/>
      <c r="I101" s="503"/>
      <c r="J101" s="503"/>
      <c r="K101" s="503"/>
      <c r="L101" s="503"/>
      <c r="M101" s="503"/>
    </row>
    <row r="102" spans="1:48" s="88" customFormat="1" ht="16.5" customHeight="1">
      <c r="A102" s="496" t="s">
        <v>1217</v>
      </c>
      <c r="B102" s="496"/>
      <c r="C102" s="493" t="s">
        <v>192</v>
      </c>
      <c r="D102" s="493"/>
      <c r="E102" s="493"/>
      <c r="F102" s="493"/>
      <c r="G102" s="493"/>
      <c r="H102" s="493"/>
      <c r="I102" s="493"/>
      <c r="J102" s="493"/>
      <c r="K102" s="493"/>
      <c r="L102" s="493"/>
      <c r="M102" s="493"/>
    </row>
    <row r="103" spans="1:48" s="88" customFormat="1" ht="16.5" customHeight="1">
      <c r="A103" s="496" t="s">
        <v>5786</v>
      </c>
      <c r="B103" s="496"/>
      <c r="C103" s="497" t="s">
        <v>192</v>
      </c>
      <c r="D103" s="497"/>
      <c r="E103" s="497"/>
      <c r="F103" s="497"/>
      <c r="G103" s="497"/>
      <c r="H103" s="497"/>
      <c r="I103" s="497"/>
      <c r="J103" s="497"/>
      <c r="K103" s="497"/>
      <c r="L103" s="497"/>
      <c r="M103" s="497"/>
    </row>
    <row r="104" spans="1:48" s="88" customFormat="1" ht="16.5" customHeight="1">
      <c r="A104" s="496" t="s">
        <v>1220</v>
      </c>
      <c r="B104" s="496"/>
      <c r="C104" s="493" t="s">
        <v>2512</v>
      </c>
      <c r="D104" s="493"/>
      <c r="E104" s="493"/>
      <c r="F104" s="493"/>
      <c r="G104" s="493"/>
      <c r="H104" s="493"/>
      <c r="I104" s="493"/>
      <c r="J104" s="493"/>
      <c r="K104" s="493"/>
      <c r="L104" s="493"/>
      <c r="M104" s="493"/>
    </row>
    <row r="105" spans="1:48" s="88" customFormat="1" ht="16.5" customHeight="1">
      <c r="A105" s="496" t="s">
        <v>5785</v>
      </c>
      <c r="B105" s="496"/>
      <c r="C105" s="493" t="s">
        <v>2513</v>
      </c>
      <c r="D105" s="493"/>
      <c r="E105" s="493"/>
      <c r="F105" s="493"/>
      <c r="G105" s="493"/>
      <c r="H105" s="493"/>
      <c r="I105" s="493"/>
      <c r="J105" s="493"/>
      <c r="K105" s="493"/>
      <c r="L105" s="493"/>
      <c r="M105" s="493"/>
    </row>
    <row r="106" spans="1:48" s="88" customFormat="1" ht="16.5" customHeight="1">
      <c r="A106" s="89" t="s">
        <v>1223</v>
      </c>
      <c r="B106" s="92" t="s">
        <v>2514</v>
      </c>
      <c r="C106" s="493" t="s">
        <v>2515</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c r="C109" s="493"/>
      <c r="D109" s="493"/>
      <c r="E109" s="493"/>
      <c r="F109" s="493"/>
      <c r="G109" s="493"/>
      <c r="H109" s="493"/>
      <c r="I109" s="493"/>
      <c r="J109" s="493"/>
      <c r="K109" s="493"/>
      <c r="L109" s="493"/>
      <c r="M109" s="493"/>
    </row>
    <row r="110" spans="1:48" ht="16.5" customHeight="1">
      <c r="A110" s="89" t="s">
        <v>1229</v>
      </c>
      <c r="B110" s="493" t="s">
        <v>2516</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10" s="93" customFormat="1" ht="16.5" customHeight="1">
      <c r="A113" s="94" t="s">
        <v>1232</v>
      </c>
      <c r="B113" s="93" t="s">
        <v>1773</v>
      </c>
    </row>
    <row r="114" spans="1:10" ht="16.5" customHeight="1">
      <c r="A114" s="93"/>
      <c r="B114" s="93"/>
      <c r="C114" s="93"/>
      <c r="D114" s="93"/>
      <c r="E114" s="93"/>
      <c r="F114" s="93"/>
      <c r="G114" s="93"/>
      <c r="H114" s="93"/>
      <c r="I114" s="93"/>
      <c r="J114" s="93"/>
    </row>
    <row r="115" spans="1:10" ht="16.5" customHeight="1">
      <c r="A115" s="93"/>
      <c r="B115" s="518" t="s">
        <v>192</v>
      </c>
      <c r="C115" s="518"/>
      <c r="D115" s="518"/>
      <c r="E115" s="518"/>
      <c r="F115" s="518"/>
      <c r="G115" s="518"/>
      <c r="H115" s="518"/>
      <c r="I115" s="93"/>
      <c r="J115" s="93"/>
    </row>
    <row r="116" spans="1:10" ht="16.5" customHeight="1">
      <c r="A116" s="93"/>
      <c r="B116" s="95" t="s">
        <v>2517</v>
      </c>
      <c r="C116" s="188">
        <v>90</v>
      </c>
      <c r="D116" s="188">
        <v>180</v>
      </c>
      <c r="E116" s="188">
        <v>360</v>
      </c>
      <c r="F116" s="188">
        <v>0</v>
      </c>
      <c r="G116" s="188">
        <v>-90</v>
      </c>
      <c r="H116" s="138">
        <v>500</v>
      </c>
      <c r="I116" s="104" t="s">
        <v>1238</v>
      </c>
      <c r="J116" s="93"/>
    </row>
    <row r="117" spans="1:10" ht="16.5" customHeight="1">
      <c r="A117" s="93"/>
      <c r="B117" s="151" t="s">
        <v>2518</v>
      </c>
      <c r="C117" s="113">
        <f t="shared" ref="C117:H117" si="0">RADIANS(C116)</f>
        <v>1.5707963267948966</v>
      </c>
      <c r="D117" s="113">
        <f t="shared" si="0"/>
        <v>3.1415926535897931</v>
      </c>
      <c r="E117" s="113">
        <f t="shared" si="0"/>
        <v>6.2831853071795862</v>
      </c>
      <c r="F117" s="113">
        <f t="shared" si="0"/>
        <v>0</v>
      </c>
      <c r="G117" s="113">
        <f t="shared" si="0"/>
        <v>-1.5707963267948966</v>
      </c>
      <c r="H117" s="107">
        <f t="shared" si="0"/>
        <v>8.7266462599716483</v>
      </c>
      <c r="I117" s="108" t="s">
        <v>2519</v>
      </c>
      <c r="J117" s="93"/>
    </row>
    <row r="118" spans="1:10" ht="16.5" customHeight="1"/>
    <row r="200" spans="1:13" s="88" customFormat="1" ht="26.25" customHeight="1">
      <c r="A200" s="498" t="s">
        <v>193</v>
      </c>
      <c r="B200" s="498"/>
      <c r="C200" s="499"/>
      <c r="D200" s="87"/>
      <c r="E200" s="500" t="str">
        <f>HYPERLINK("#目录!A110","跳转回到目录页")</f>
        <v>跳转回到目录页</v>
      </c>
      <c r="F200" s="501"/>
    </row>
    <row r="201" spans="1:13" s="88" customFormat="1" ht="26.25" customHeight="1">
      <c r="A201" s="502" t="s">
        <v>1216</v>
      </c>
      <c r="B201" s="502"/>
      <c r="C201" s="503" t="s">
        <v>194</v>
      </c>
      <c r="D201" s="503"/>
      <c r="E201" s="503"/>
      <c r="F201" s="503"/>
      <c r="G201" s="503"/>
      <c r="H201" s="503"/>
      <c r="I201" s="503"/>
      <c r="J201" s="503"/>
      <c r="K201" s="503"/>
      <c r="L201" s="503"/>
      <c r="M201" s="503"/>
    </row>
    <row r="202" spans="1:13" s="88" customFormat="1" ht="16.5" customHeight="1">
      <c r="A202" s="496" t="s">
        <v>1217</v>
      </c>
      <c r="B202" s="496"/>
      <c r="C202" s="493" t="s">
        <v>194</v>
      </c>
      <c r="D202" s="493"/>
      <c r="E202" s="493"/>
      <c r="F202" s="493"/>
      <c r="G202" s="493"/>
      <c r="H202" s="493"/>
      <c r="I202" s="493"/>
      <c r="J202" s="493"/>
      <c r="K202" s="493"/>
      <c r="L202" s="493"/>
      <c r="M202" s="493"/>
    </row>
    <row r="203" spans="1:13" s="88" customFormat="1" ht="16.5" customHeight="1">
      <c r="A203" s="496" t="s">
        <v>5786</v>
      </c>
      <c r="B203" s="496"/>
      <c r="C203" s="497" t="s">
        <v>194</v>
      </c>
      <c r="D203" s="497"/>
      <c r="E203" s="497"/>
      <c r="F203" s="497"/>
      <c r="G203" s="497"/>
      <c r="H203" s="497"/>
      <c r="I203" s="497"/>
      <c r="J203" s="497"/>
      <c r="K203" s="497"/>
      <c r="L203" s="497"/>
      <c r="M203" s="497"/>
    </row>
    <row r="204" spans="1:13" s="88" customFormat="1" ht="16.5" customHeight="1">
      <c r="A204" s="496" t="s">
        <v>1220</v>
      </c>
      <c r="B204" s="496"/>
      <c r="C204" s="493" t="s">
        <v>2520</v>
      </c>
      <c r="D204" s="493"/>
      <c r="E204" s="493"/>
      <c r="F204" s="493"/>
      <c r="G204" s="493"/>
      <c r="H204" s="493"/>
      <c r="I204" s="493"/>
      <c r="J204" s="493"/>
      <c r="K204" s="493"/>
      <c r="L204" s="493"/>
      <c r="M204" s="493"/>
    </row>
    <row r="205" spans="1:13" s="88" customFormat="1" ht="16.5" customHeight="1">
      <c r="A205" s="496" t="s">
        <v>5785</v>
      </c>
      <c r="B205" s="496"/>
      <c r="C205" s="493" t="s">
        <v>2521</v>
      </c>
      <c r="D205" s="493"/>
      <c r="E205" s="493"/>
      <c r="F205" s="493"/>
      <c r="G205" s="493"/>
      <c r="H205" s="493"/>
      <c r="I205" s="493"/>
      <c r="J205" s="493"/>
      <c r="K205" s="493"/>
      <c r="L205" s="493"/>
      <c r="M205" s="493"/>
    </row>
    <row r="206" spans="1:13" s="88" customFormat="1" ht="16.5" customHeight="1">
      <c r="A206" s="89" t="s">
        <v>1223</v>
      </c>
      <c r="B206" s="92" t="s">
        <v>2514</v>
      </c>
      <c r="C206" s="493" t="s">
        <v>2522</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493" t="s">
        <v>2516</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c r="B215" s="518" t="s">
        <v>194</v>
      </c>
      <c r="C215" s="518"/>
      <c r="D215" s="518"/>
      <c r="E215" s="518"/>
      <c r="F215" s="518"/>
      <c r="G215" s="518"/>
      <c r="H215" s="518"/>
      <c r="I215" s="93"/>
    </row>
    <row r="216" spans="1:13" ht="16.5" customHeight="1">
      <c r="B216" s="95" t="s">
        <v>2517</v>
      </c>
      <c r="C216" s="188">
        <v>1</v>
      </c>
      <c r="D216" s="188">
        <v>0</v>
      </c>
      <c r="E216" s="188">
        <v>3.1415929999999999</v>
      </c>
      <c r="F216" s="188">
        <v>6.0283185000000001</v>
      </c>
      <c r="G216" s="188">
        <v>-3.1415899999999999</v>
      </c>
      <c r="H216" s="138">
        <v>8</v>
      </c>
      <c r="I216" s="104" t="s">
        <v>1238</v>
      </c>
    </row>
    <row r="217" spans="1:13" ht="16.5" customHeight="1">
      <c r="B217" s="151" t="s">
        <v>2518</v>
      </c>
      <c r="C217" s="113">
        <f t="shared" ref="C217:H217" si="1">DEGREES(C216)</f>
        <v>57.295779513082323</v>
      </c>
      <c r="D217" s="113">
        <f t="shared" si="1"/>
        <v>0</v>
      </c>
      <c r="E217" s="113">
        <f t="shared" si="1"/>
        <v>180.00001984784282</v>
      </c>
      <c r="F217" s="113">
        <f t="shared" si="1"/>
        <v>345.39720761063518</v>
      </c>
      <c r="G217" s="113">
        <f t="shared" si="1"/>
        <v>-179.9998479605043</v>
      </c>
      <c r="H217" s="107">
        <f t="shared" si="1"/>
        <v>458.36623610465858</v>
      </c>
      <c r="I217" s="108" t="s">
        <v>2523</v>
      </c>
    </row>
  </sheetData>
  <mergeCells count="5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5:H115"/>
    <mergeCell ref="A200:C200"/>
    <mergeCell ref="E200:F200"/>
    <mergeCell ref="A201:B201"/>
    <mergeCell ref="C201:M201"/>
    <mergeCell ref="A203:B203"/>
    <mergeCell ref="C203:M203"/>
    <mergeCell ref="A204:B204"/>
    <mergeCell ref="C204:M204"/>
    <mergeCell ref="A205:B205"/>
    <mergeCell ref="C205:M205"/>
    <mergeCell ref="B215:H215"/>
    <mergeCell ref="C206:M206"/>
    <mergeCell ref="C207:M207"/>
    <mergeCell ref="C208:M208"/>
    <mergeCell ref="B209:M209"/>
    <mergeCell ref="B210:M210"/>
    <mergeCell ref="B211:L211"/>
  </mergeCells>
  <phoneticPr fontId="2" type="noConversion"/>
  <pageMargins left="0.75" right="0.75" top="1" bottom="1" header="0.5" footer="0.5"/>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AV532"/>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215</v>
      </c>
      <c r="B1" s="498"/>
      <c r="C1" s="499"/>
      <c r="D1" s="87"/>
      <c r="E1" s="500" t="str">
        <f>HYPERLINK("#目录!A121","跳转回到目录页")</f>
        <v>跳转回到目录页</v>
      </c>
      <c r="F1" s="501"/>
    </row>
    <row r="2" spans="1:48" s="88" customFormat="1" ht="26.25" customHeight="1">
      <c r="A2" s="502" t="s">
        <v>1216</v>
      </c>
      <c r="B2" s="502"/>
      <c r="C2" s="503" t="s">
        <v>216</v>
      </c>
      <c r="D2" s="503"/>
      <c r="E2" s="503"/>
      <c r="F2" s="503"/>
      <c r="G2" s="503"/>
      <c r="H2" s="503"/>
      <c r="I2" s="503"/>
      <c r="J2" s="503"/>
      <c r="K2" s="503"/>
      <c r="L2" s="503"/>
      <c r="M2" s="503"/>
    </row>
    <row r="3" spans="1:48" s="88" customFormat="1" ht="16.5" customHeight="1">
      <c r="A3" s="496" t="s">
        <v>1217</v>
      </c>
      <c r="B3" s="496"/>
      <c r="C3" s="493" t="s">
        <v>2524</v>
      </c>
      <c r="D3" s="493"/>
      <c r="E3" s="493"/>
      <c r="F3" s="493"/>
      <c r="G3" s="493"/>
      <c r="H3" s="493"/>
      <c r="I3" s="493"/>
      <c r="J3" s="493"/>
      <c r="K3" s="493"/>
      <c r="L3" s="493"/>
      <c r="M3" s="493"/>
    </row>
    <row r="4" spans="1:48" s="88" customFormat="1" ht="16.5" customHeight="1">
      <c r="A4" s="496" t="s">
        <v>5786</v>
      </c>
      <c r="B4" s="496"/>
      <c r="C4" s="497" t="s">
        <v>2524</v>
      </c>
      <c r="D4" s="497"/>
      <c r="E4" s="497"/>
      <c r="F4" s="497"/>
      <c r="G4" s="497"/>
      <c r="H4" s="497"/>
      <c r="I4" s="497"/>
      <c r="J4" s="497"/>
      <c r="K4" s="497"/>
      <c r="L4" s="497"/>
      <c r="M4" s="497"/>
    </row>
    <row r="5" spans="1:48" s="88" customFormat="1" ht="16.5" customHeight="1">
      <c r="A5" s="496" t="s">
        <v>1220</v>
      </c>
      <c r="B5" s="496"/>
      <c r="C5" s="493" t="s">
        <v>2525</v>
      </c>
      <c r="D5" s="493"/>
      <c r="E5" s="493"/>
      <c r="F5" s="493"/>
      <c r="G5" s="493"/>
      <c r="H5" s="493"/>
      <c r="I5" s="493"/>
      <c r="J5" s="493"/>
      <c r="K5" s="493"/>
      <c r="L5" s="493"/>
      <c r="M5" s="493"/>
    </row>
    <row r="6" spans="1:48" s="88" customFormat="1" ht="16.5" customHeight="1">
      <c r="A6" s="496" t="s">
        <v>5785</v>
      </c>
      <c r="B6" s="496"/>
      <c r="C6" s="493" t="s">
        <v>2526</v>
      </c>
      <c r="D6" s="493"/>
      <c r="E6" s="493"/>
      <c r="F6" s="493"/>
      <c r="G6" s="493"/>
      <c r="H6" s="493"/>
      <c r="I6" s="493"/>
      <c r="J6" s="493"/>
      <c r="K6" s="493"/>
      <c r="L6" s="493"/>
      <c r="M6" s="493"/>
    </row>
    <row r="7" spans="1:48" s="88" customFormat="1" ht="16.5" customHeight="1">
      <c r="A7" s="89" t="s">
        <v>1223</v>
      </c>
      <c r="B7" s="92" t="s">
        <v>2200</v>
      </c>
      <c r="C7" s="493" t="s">
        <v>2332</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493" t="s">
        <v>2527</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c r="F14" s="4"/>
    </row>
    <row r="15" spans="1:48" s="93" customFormat="1" ht="16.5" customHeight="1">
      <c r="F15" s="4"/>
      <c r="H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565" t="s">
        <v>2528</v>
      </c>
      <c r="C16" s="565"/>
      <c r="D16" s="565"/>
      <c r="E16" s="104" t="s">
        <v>1238</v>
      </c>
      <c r="F16" s="4"/>
      <c r="H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87">
        <v>-4</v>
      </c>
      <c r="C17" s="558">
        <f>SINH(B17)</f>
        <v>-27.28991719712775</v>
      </c>
      <c r="D17" s="559"/>
      <c r="E17" s="108" t="s">
        <v>2529</v>
      </c>
      <c r="F17" s="4"/>
      <c r="H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v>-3</v>
      </c>
      <c r="C18" s="554">
        <f t="shared" ref="C18:C25" si="0">SINH(B18)</f>
        <v>-10.017874927409903</v>
      </c>
      <c r="D18" s="555"/>
      <c r="F18" s="4"/>
      <c r="H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-2</v>
      </c>
      <c r="C19" s="554">
        <f t="shared" si="0"/>
        <v>-3.626860407847019</v>
      </c>
      <c r="D19" s="555"/>
      <c r="F19" s="4"/>
      <c r="H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v>-1</v>
      </c>
      <c r="C20" s="554">
        <f t="shared" si="0"/>
        <v>-1.1752011936438014</v>
      </c>
      <c r="D20" s="555"/>
      <c r="F20" s="4"/>
      <c r="H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v>0</v>
      </c>
      <c r="C21" s="554">
        <f t="shared" si="0"/>
        <v>0</v>
      </c>
      <c r="D21" s="555"/>
      <c r="F21" s="4"/>
      <c r="H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v>1</v>
      </c>
      <c r="C22" s="554">
        <f t="shared" si="0"/>
        <v>1.1752011936438014</v>
      </c>
      <c r="D22" s="555"/>
      <c r="F22" s="4"/>
      <c r="H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9">
        <v>2</v>
      </c>
      <c r="C23" s="554">
        <f t="shared" si="0"/>
        <v>3.626860407847019</v>
      </c>
      <c r="D23" s="555"/>
      <c r="F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9">
        <v>3</v>
      </c>
      <c r="C24" s="554">
        <f t="shared" si="0"/>
        <v>10.017874927409903</v>
      </c>
      <c r="D24" s="555"/>
      <c r="F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05">
        <v>4</v>
      </c>
      <c r="C25" s="556">
        <f t="shared" si="0"/>
        <v>27.28991719712775</v>
      </c>
      <c r="D25" s="557"/>
      <c r="F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F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F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F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F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F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F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F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6:48" s="93" customFormat="1" ht="16.5" customHeight="1">
      <c r="F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6:48" s="93" customFormat="1" ht="16.5" customHeight="1">
      <c r="F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6:48" s="93" customFormat="1" ht="16.5" customHeight="1">
      <c r="F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6:48" s="93" customFormat="1" ht="16.5" customHeight="1">
      <c r="F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6:48" s="93" customFormat="1" ht="16.5" customHeight="1">
      <c r="F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6:48" s="93" customFormat="1" ht="16.5" customHeight="1">
      <c r="F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6:48" s="93" customFormat="1" ht="16.5" customHeight="1">
      <c r="F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6:48" s="93" customFormat="1" ht="16.5" customHeight="1">
      <c r="F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6:48" s="93" customFormat="1" ht="16.5" customHeight="1">
      <c r="F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6:48" s="93" customFormat="1" ht="16.5" customHeight="1">
      <c r="F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6:48" s="93" customFormat="1" ht="16.5" customHeight="1">
      <c r="F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6:48" s="93" customFormat="1" ht="16.5" customHeight="1">
      <c r="F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6:48" s="93" customFormat="1" ht="16.5" customHeight="1">
      <c r="F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6:48" s="93" customFormat="1" ht="16.5" customHeight="1">
      <c r="F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6:48" s="93" customFormat="1" ht="16.5" customHeight="1">
      <c r="F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6:48" s="93" customFormat="1" ht="16.5" customHeight="1">
      <c r="F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6:48" s="93" customFormat="1" ht="16.5" customHeight="1">
      <c r="F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6:48" s="93" customFormat="1" ht="16.5" customHeight="1">
      <c r="F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6:48" s="93" customFormat="1" ht="16.5" customHeight="1">
      <c r="F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6:48" s="93" customFormat="1" ht="16.5" customHeight="1">
      <c r="F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6:48" s="93" customFormat="1" ht="16.5" customHeight="1">
      <c r="F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6:48" s="93" customFormat="1" ht="16.5" customHeight="1">
      <c r="F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6:48" s="93" customFormat="1" ht="16.5" customHeight="1">
      <c r="F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6:48" s="93" customFormat="1" ht="16.5" customHeight="1">
      <c r="F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6:48" s="93" customFormat="1" ht="16.5" customHeight="1">
      <c r="F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6:48" s="93" customFormat="1" ht="16.5" customHeight="1">
      <c r="F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6:48" s="93" customFormat="1" ht="16.5" customHeight="1">
      <c r="F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6:48" s="93" customFormat="1" ht="16.5" customHeight="1">
      <c r="F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6:48" s="93" customFormat="1" ht="16.5" customHeight="1">
      <c r="F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6:48" s="93" customFormat="1" ht="16.5" customHeight="1">
      <c r="F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6:48" s="93" customFormat="1" ht="16.5" customHeight="1">
      <c r="F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6:48" s="93" customFormat="1" ht="16.5" customHeight="1">
      <c r="F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48" s="93" customFormat="1" ht="16.5" customHeight="1">
      <c r="F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48" s="93" customFormat="1" ht="16.5" customHeight="1">
      <c r="F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48" s="93" customFormat="1" ht="16.5" customHeight="1">
      <c r="F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48" s="93" customFormat="1" ht="16.5" customHeight="1">
      <c r="F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48" s="93" customFormat="1" ht="16.5" customHeight="1">
      <c r="F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48" s="93" customFormat="1" ht="16.5" customHeight="1">
      <c r="F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48" s="93" customFormat="1" ht="16.5" customHeight="1">
      <c r="F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48" s="93" customFormat="1" ht="16.5" customHeight="1">
      <c r="F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48" s="93" customFormat="1" ht="16.5" customHeight="1">
      <c r="F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48" s="93" customFormat="1" ht="16.5" customHeight="1">
      <c r="F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48" s="93" customFormat="1" ht="16.5" customHeight="1">
      <c r="F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48" s="93" customFormat="1" ht="16.5" customHeight="1">
      <c r="F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48" s="93" customFormat="1" ht="16.5" customHeight="1">
      <c r="A77" s="94"/>
      <c r="F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48" s="93" customFormat="1" ht="16.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48" s="93" customFormat="1" ht="16.5" customHeight="1">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48" s="93" customFormat="1" ht="16.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2:48" s="93" customFormat="1" ht="16.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2:48" s="93" customFormat="1" ht="16.5" customHeight="1">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2:48" s="93" customFormat="1" ht="16.5" customHeight="1">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2:48" s="93" customFormat="1" ht="16.5" customHeight="1">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2:48" s="93" customFormat="1" ht="16.5" customHeight="1">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2:48" s="93" customFormat="1" ht="16.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2:48" s="93" customFormat="1" ht="16.5" customHeigh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2:48" s="93" customFormat="1" ht="16.5" customHeight="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2:48" s="93" customFormat="1" ht="16.5" customHeight="1">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2:48" s="93" customFormat="1" ht="16.5" customHeight="1">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2:48" s="93" customFormat="1" ht="16.5" customHeight="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6.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6.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6.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6.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s="93" customFormat="1" ht="16.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100" spans="1:48" s="88" customFormat="1" ht="26.25" customHeight="1">
      <c r="A100" s="498" t="s">
        <v>217</v>
      </c>
      <c r="B100" s="498"/>
      <c r="C100" s="499"/>
      <c r="D100" s="87"/>
      <c r="E100" s="500" t="str">
        <f>HYPERLINK("#目录!A122","跳转回到目录页")</f>
        <v>跳转回到目录页</v>
      </c>
      <c r="F100" s="501"/>
    </row>
    <row r="101" spans="1:48" s="88" customFormat="1" ht="26.25" customHeight="1">
      <c r="A101" s="502" t="s">
        <v>1216</v>
      </c>
      <c r="B101" s="502"/>
      <c r="C101" s="503" t="s">
        <v>218</v>
      </c>
      <c r="D101" s="503"/>
      <c r="E101" s="503"/>
      <c r="F101" s="503"/>
      <c r="G101" s="503"/>
      <c r="H101" s="503"/>
      <c r="I101" s="503"/>
      <c r="J101" s="503"/>
      <c r="K101" s="503"/>
      <c r="L101" s="503"/>
      <c r="M101" s="503"/>
    </row>
    <row r="102" spans="1:48" s="88" customFormat="1" ht="16.5" customHeight="1">
      <c r="A102" s="496" t="s">
        <v>1217</v>
      </c>
      <c r="B102" s="496"/>
      <c r="C102" s="493" t="s">
        <v>2530</v>
      </c>
      <c r="D102" s="493"/>
      <c r="E102" s="493"/>
      <c r="F102" s="493"/>
      <c r="G102" s="493"/>
      <c r="H102" s="493"/>
      <c r="I102" s="493"/>
      <c r="J102" s="493"/>
      <c r="K102" s="493"/>
      <c r="L102" s="493"/>
      <c r="M102" s="493"/>
    </row>
    <row r="103" spans="1:48" s="88" customFormat="1" ht="16.5" customHeight="1">
      <c r="A103" s="496" t="s">
        <v>5786</v>
      </c>
      <c r="B103" s="496"/>
      <c r="C103" s="497" t="s">
        <v>2530</v>
      </c>
      <c r="D103" s="497"/>
      <c r="E103" s="497"/>
      <c r="F103" s="497"/>
      <c r="G103" s="497"/>
      <c r="H103" s="497"/>
      <c r="I103" s="497"/>
      <c r="J103" s="497"/>
      <c r="K103" s="497"/>
      <c r="L103" s="497"/>
      <c r="M103" s="497"/>
    </row>
    <row r="104" spans="1:48" s="88" customFormat="1" ht="16.5" customHeight="1">
      <c r="A104" s="496" t="s">
        <v>1220</v>
      </c>
      <c r="B104" s="496"/>
      <c r="C104" s="493" t="s">
        <v>2531</v>
      </c>
      <c r="D104" s="493"/>
      <c r="E104" s="493"/>
      <c r="F104" s="493"/>
      <c r="G104" s="493"/>
      <c r="H104" s="493"/>
      <c r="I104" s="493"/>
      <c r="J104" s="493"/>
      <c r="K104" s="493"/>
      <c r="L104" s="493"/>
      <c r="M104" s="493"/>
    </row>
    <row r="105" spans="1:48" s="88" customFormat="1" ht="16.5" customHeight="1">
      <c r="A105" s="496" t="s">
        <v>5785</v>
      </c>
      <c r="B105" s="496"/>
      <c r="C105" s="493" t="s">
        <v>2532</v>
      </c>
      <c r="D105" s="493"/>
      <c r="E105" s="493"/>
      <c r="F105" s="493"/>
      <c r="G105" s="493"/>
      <c r="H105" s="493"/>
      <c r="I105" s="493"/>
      <c r="J105" s="493"/>
      <c r="K105" s="493"/>
      <c r="L105" s="493"/>
      <c r="M105" s="493"/>
    </row>
    <row r="106" spans="1:48" s="88" customFormat="1" ht="16.5" customHeight="1">
      <c r="A106" s="89" t="s">
        <v>1223</v>
      </c>
      <c r="B106" s="92" t="s">
        <v>2200</v>
      </c>
      <c r="C106" s="493" t="s">
        <v>2533</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c r="C109" s="493"/>
      <c r="D109" s="493"/>
      <c r="E109" s="493"/>
      <c r="F109" s="493"/>
      <c r="G109" s="493"/>
      <c r="H109" s="493"/>
      <c r="I109" s="493"/>
      <c r="J109" s="493"/>
      <c r="K109" s="493"/>
      <c r="L109" s="493"/>
      <c r="M109" s="493"/>
    </row>
    <row r="110" spans="1:48" ht="16.5" customHeight="1">
      <c r="A110" s="89" t="s">
        <v>1229</v>
      </c>
      <c r="B110" s="493" t="s">
        <v>2534</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5" s="93" customFormat="1" ht="16.5" customHeight="1">
      <c r="A113" s="94" t="s">
        <v>1232</v>
      </c>
      <c r="B113" s="93" t="s">
        <v>1773</v>
      </c>
    </row>
    <row r="114" spans="1:5" ht="16.5" customHeight="1"/>
    <row r="115" spans="1:5" ht="16.5" customHeight="1">
      <c r="B115" s="565" t="s">
        <v>2535</v>
      </c>
      <c r="C115" s="565"/>
      <c r="D115" s="565"/>
      <c r="E115" s="104" t="s">
        <v>1238</v>
      </c>
    </row>
    <row r="116" spans="1:5" ht="16.5" customHeight="1">
      <c r="B116" s="187">
        <v>-4</v>
      </c>
      <c r="C116" s="558">
        <f>COSH(B116)</f>
        <v>27.308232836016487</v>
      </c>
      <c r="D116" s="559"/>
      <c r="E116" s="108" t="s">
        <v>2536</v>
      </c>
    </row>
    <row r="117" spans="1:5" ht="16.5" customHeight="1">
      <c r="B117" s="99">
        <v>-3</v>
      </c>
      <c r="C117" s="619">
        <f t="shared" ref="C117:C124" si="1">COSH(B117)</f>
        <v>10.067661995777765</v>
      </c>
      <c r="D117" s="620"/>
      <c r="E117" s="93"/>
    </row>
    <row r="118" spans="1:5" ht="16.5" customHeight="1">
      <c r="B118" s="99">
        <v>-2</v>
      </c>
      <c r="C118" s="619">
        <f t="shared" si="1"/>
        <v>3.7621956910836314</v>
      </c>
      <c r="D118" s="620"/>
      <c r="E118" s="93"/>
    </row>
    <row r="119" spans="1:5" ht="16.5" customHeight="1">
      <c r="B119" s="99">
        <v>-1</v>
      </c>
      <c r="C119" s="619">
        <f t="shared" si="1"/>
        <v>1.5430806348152437</v>
      </c>
      <c r="D119" s="620"/>
      <c r="E119" s="93"/>
    </row>
    <row r="120" spans="1:5" ht="16.5" customHeight="1">
      <c r="B120" s="99">
        <v>0</v>
      </c>
      <c r="C120" s="619">
        <f t="shared" si="1"/>
        <v>1</v>
      </c>
      <c r="D120" s="620"/>
      <c r="E120" s="93"/>
    </row>
    <row r="121" spans="1:5" ht="16.5" customHeight="1">
      <c r="B121" s="99">
        <v>1</v>
      </c>
      <c r="C121" s="619">
        <f t="shared" si="1"/>
        <v>1.5430806348152437</v>
      </c>
      <c r="D121" s="620"/>
      <c r="E121" s="93"/>
    </row>
    <row r="122" spans="1:5" ht="16.5" customHeight="1">
      <c r="B122" s="99">
        <v>2</v>
      </c>
      <c r="C122" s="619">
        <f t="shared" si="1"/>
        <v>3.7621956910836314</v>
      </c>
      <c r="D122" s="620"/>
      <c r="E122" s="93"/>
    </row>
    <row r="123" spans="1:5" ht="16.5" customHeight="1">
      <c r="B123" s="99">
        <v>3</v>
      </c>
      <c r="C123" s="619">
        <f t="shared" si="1"/>
        <v>10.067661995777765</v>
      </c>
      <c r="D123" s="620"/>
      <c r="E123" s="93"/>
    </row>
    <row r="124" spans="1:5" ht="16.5" customHeight="1">
      <c r="B124" s="105">
        <v>4</v>
      </c>
      <c r="C124" s="621">
        <f t="shared" si="1"/>
        <v>27.308232836016487</v>
      </c>
      <c r="D124" s="622"/>
      <c r="E124" s="93"/>
    </row>
    <row r="125" spans="1:5" ht="16.5" customHeight="1"/>
    <row r="200" spans="1:13" s="88" customFormat="1" ht="26.25" customHeight="1">
      <c r="A200" s="498" t="s">
        <v>219</v>
      </c>
      <c r="B200" s="498"/>
      <c r="C200" s="499"/>
      <c r="D200" s="87"/>
      <c r="E200" s="500" t="str">
        <f>HYPERLINK("#目录!A123","跳转回到目录页")</f>
        <v>跳转回到目录页</v>
      </c>
      <c r="F200" s="501"/>
    </row>
    <row r="201" spans="1:13" s="88" customFormat="1" ht="26.25" customHeight="1">
      <c r="A201" s="502" t="s">
        <v>1216</v>
      </c>
      <c r="B201" s="502"/>
      <c r="C201" s="503" t="s">
        <v>220</v>
      </c>
      <c r="D201" s="503"/>
      <c r="E201" s="503"/>
      <c r="F201" s="503"/>
      <c r="G201" s="503"/>
      <c r="H201" s="503"/>
      <c r="I201" s="503"/>
      <c r="J201" s="503"/>
      <c r="K201" s="503"/>
      <c r="L201" s="503"/>
      <c r="M201" s="503"/>
    </row>
    <row r="202" spans="1:13" s="88" customFormat="1" ht="16.5" customHeight="1">
      <c r="A202" s="496" t="s">
        <v>1217</v>
      </c>
      <c r="B202" s="496"/>
      <c r="C202" s="493" t="s">
        <v>2537</v>
      </c>
      <c r="D202" s="493"/>
      <c r="E202" s="493"/>
      <c r="F202" s="493"/>
      <c r="G202" s="493"/>
      <c r="H202" s="493"/>
      <c r="I202" s="493"/>
      <c r="J202" s="493"/>
      <c r="K202" s="493"/>
      <c r="L202" s="493"/>
      <c r="M202" s="493"/>
    </row>
    <row r="203" spans="1:13" s="88" customFormat="1" ht="16.5" customHeight="1">
      <c r="A203" s="496" t="s">
        <v>5786</v>
      </c>
      <c r="B203" s="496"/>
      <c r="C203" s="497" t="s">
        <v>220</v>
      </c>
      <c r="D203" s="497"/>
      <c r="E203" s="497"/>
      <c r="F203" s="497"/>
      <c r="G203" s="497"/>
      <c r="H203" s="497"/>
      <c r="I203" s="497"/>
      <c r="J203" s="497"/>
      <c r="K203" s="497"/>
      <c r="L203" s="497"/>
      <c r="M203" s="497"/>
    </row>
    <row r="204" spans="1:13" s="88" customFormat="1" ht="16.5" customHeight="1">
      <c r="A204" s="496" t="s">
        <v>1220</v>
      </c>
      <c r="B204" s="496"/>
      <c r="C204" s="493" t="s">
        <v>2538</v>
      </c>
      <c r="D204" s="493"/>
      <c r="E204" s="493"/>
      <c r="F204" s="493"/>
      <c r="G204" s="493"/>
      <c r="H204" s="493"/>
      <c r="I204" s="493"/>
      <c r="J204" s="493"/>
      <c r="K204" s="493"/>
      <c r="L204" s="493"/>
      <c r="M204" s="493"/>
    </row>
    <row r="205" spans="1:13" s="88" customFormat="1" ht="16.5" customHeight="1">
      <c r="A205" s="496" t="s">
        <v>5785</v>
      </c>
      <c r="B205" s="496"/>
      <c r="C205" s="493" t="s">
        <v>2539</v>
      </c>
      <c r="D205" s="493"/>
      <c r="E205" s="493"/>
      <c r="F205" s="493"/>
      <c r="G205" s="493"/>
      <c r="H205" s="493"/>
      <c r="I205" s="493"/>
      <c r="J205" s="493"/>
      <c r="K205" s="493"/>
      <c r="L205" s="493"/>
      <c r="M205" s="493"/>
    </row>
    <row r="206" spans="1:13" s="88" customFormat="1" ht="16.5" customHeight="1">
      <c r="A206" s="89" t="s">
        <v>1223</v>
      </c>
      <c r="B206" s="92" t="s">
        <v>2200</v>
      </c>
      <c r="C206" s="493" t="s">
        <v>2332</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493" t="s">
        <v>2540</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c r="B215" s="565" t="s">
        <v>2541</v>
      </c>
      <c r="C215" s="565"/>
      <c r="D215" s="565"/>
      <c r="E215" s="104" t="s">
        <v>1238</v>
      </c>
    </row>
    <row r="216" spans="1:13" ht="16.5" customHeight="1">
      <c r="B216" s="187">
        <v>-4</v>
      </c>
      <c r="C216" s="558">
        <f>TANH(B216)</f>
        <v>-0.99932929973906692</v>
      </c>
      <c r="D216" s="559"/>
      <c r="E216" s="108" t="s">
        <v>2542</v>
      </c>
    </row>
    <row r="217" spans="1:13" ht="16.5" customHeight="1">
      <c r="B217" s="99">
        <v>-3</v>
      </c>
      <c r="C217" s="619">
        <f t="shared" ref="C217:C224" si="2">TANH(B217)</f>
        <v>-0.99505475368673058</v>
      </c>
      <c r="D217" s="620"/>
      <c r="E217" s="93"/>
    </row>
    <row r="218" spans="1:13" ht="16.5" customHeight="1">
      <c r="B218" s="99">
        <v>-2</v>
      </c>
      <c r="C218" s="619">
        <f t="shared" si="2"/>
        <v>-0.96402758007581701</v>
      </c>
      <c r="D218" s="620"/>
      <c r="E218" s="93"/>
    </row>
    <row r="219" spans="1:13" ht="16.5" customHeight="1">
      <c r="B219" s="99">
        <v>-1</v>
      </c>
      <c r="C219" s="619">
        <f t="shared" si="2"/>
        <v>-0.76159415595576485</v>
      </c>
      <c r="D219" s="620"/>
      <c r="E219" s="93"/>
    </row>
    <row r="220" spans="1:13" ht="16.5" customHeight="1">
      <c r="B220" s="99">
        <v>0</v>
      </c>
      <c r="C220" s="619">
        <f t="shared" si="2"/>
        <v>0</v>
      </c>
      <c r="D220" s="620"/>
      <c r="E220" s="93"/>
    </row>
    <row r="221" spans="1:13" ht="16.5" customHeight="1">
      <c r="B221" s="99">
        <v>1</v>
      </c>
      <c r="C221" s="619">
        <f t="shared" si="2"/>
        <v>0.76159415595576485</v>
      </c>
      <c r="D221" s="620"/>
      <c r="E221" s="93"/>
    </row>
    <row r="222" spans="1:13" ht="16.5" customHeight="1">
      <c r="B222" s="99">
        <v>2</v>
      </c>
      <c r="C222" s="619">
        <f t="shared" si="2"/>
        <v>0.96402758007581701</v>
      </c>
      <c r="D222" s="620"/>
      <c r="E222" s="93"/>
    </row>
    <row r="223" spans="1:13" ht="16.5" customHeight="1">
      <c r="B223" s="99">
        <v>3</v>
      </c>
      <c r="C223" s="619">
        <f t="shared" si="2"/>
        <v>0.99505475368673058</v>
      </c>
      <c r="D223" s="620"/>
      <c r="E223" s="93"/>
    </row>
    <row r="224" spans="1:13" ht="16.5" customHeight="1">
      <c r="B224" s="105">
        <v>4</v>
      </c>
      <c r="C224" s="621">
        <f t="shared" si="2"/>
        <v>0.99932929973906692</v>
      </c>
      <c r="D224" s="622"/>
      <c r="E224" s="93"/>
    </row>
    <row r="225" s="4" customFormat="1" ht="16.5" customHeight="1"/>
    <row r="226" s="4" customFormat="1" ht="16.5" customHeight="1"/>
    <row r="227" s="4" customFormat="1" ht="16.5" customHeight="1"/>
    <row r="228" s="4" customFormat="1" ht="16.5" customHeight="1"/>
    <row r="229" s="4" customFormat="1" ht="16.5" customHeight="1"/>
    <row r="230" s="4" customFormat="1" ht="16.5" customHeight="1"/>
    <row r="231" s="4" customFormat="1" ht="16.5" customHeight="1"/>
    <row r="232" s="4" customFormat="1" ht="16.5" customHeight="1"/>
    <row r="233" s="4" customFormat="1" ht="16.5" customHeight="1"/>
    <row r="234" s="4" customFormat="1" ht="16.5" customHeight="1"/>
    <row r="235" s="4" customFormat="1" ht="16.5" customHeight="1"/>
    <row r="236" s="4" customFormat="1" ht="16.5" customHeight="1"/>
    <row r="237" s="4" customFormat="1" ht="16.5" customHeight="1"/>
    <row r="238" s="4" customFormat="1" ht="16.5" customHeight="1"/>
    <row r="239" s="4" customFormat="1" ht="16.5" customHeight="1"/>
    <row r="240" s="4" customFormat="1" ht="16.5" customHeight="1"/>
    <row r="241" s="4" customFormat="1" ht="16.5" customHeight="1"/>
    <row r="242" s="4" customFormat="1" ht="16.5" customHeight="1"/>
    <row r="243" s="4" customFormat="1" ht="16.5" customHeight="1"/>
    <row r="244" s="4" customFormat="1" ht="16.5" customHeight="1"/>
    <row r="245" s="4" customFormat="1" ht="16.5" customHeight="1"/>
    <row r="246" s="4" customFormat="1" ht="16.5" customHeight="1"/>
    <row r="247" s="4" customFormat="1" ht="16.5" customHeight="1"/>
    <row r="248" s="4" customFormat="1" ht="16.5" customHeight="1"/>
    <row r="249" s="4" customFormat="1" ht="16.5" customHeight="1"/>
    <row r="250" s="4" customFormat="1" ht="16.5" customHeight="1"/>
    <row r="251" s="4" customFormat="1" ht="16.5" customHeight="1"/>
    <row r="252" s="4" customFormat="1" ht="16.5" customHeight="1"/>
    <row r="253" s="4" customFormat="1" ht="16.5" customHeight="1"/>
    <row r="254" s="4" customFormat="1" ht="16.5" customHeight="1"/>
    <row r="255" s="4" customFormat="1" ht="16.5" customHeight="1"/>
    <row r="256" s="4" customFormat="1" ht="16.5" customHeight="1"/>
    <row r="257" s="4" customFormat="1" ht="16.5" customHeight="1"/>
    <row r="258" s="4" customFormat="1" ht="16.5" customHeight="1"/>
    <row r="259" s="4" customFormat="1" ht="16.5" customHeight="1"/>
    <row r="260" s="4" customFormat="1" ht="16.5" customHeight="1"/>
    <row r="261" s="4" customFormat="1" ht="16.5" customHeight="1"/>
    <row r="262" s="4" customFormat="1" ht="16.5" customHeight="1"/>
    <row r="263" s="4" customFormat="1" ht="16.5" customHeight="1"/>
    <row r="264" s="4" customFormat="1" ht="16.5" customHeight="1"/>
    <row r="265" s="4" customFormat="1" ht="16.5" customHeight="1"/>
    <row r="266" s="4" customFormat="1" ht="16.5" customHeight="1"/>
    <row r="267" s="4" customFormat="1" ht="16.5" customHeight="1"/>
    <row r="268" s="4" customFormat="1" ht="16.5" customHeight="1"/>
    <row r="269" s="4" customFormat="1" ht="16.5" customHeight="1"/>
    <row r="270" s="4" customFormat="1" ht="16.5" customHeight="1"/>
    <row r="271" s="4" customFormat="1" ht="16.5" customHeight="1"/>
    <row r="272" s="4" customFormat="1" ht="16.5" customHeight="1"/>
    <row r="273" s="4" customFormat="1" ht="16.5" customHeight="1"/>
    <row r="300" spans="1:13" s="88" customFormat="1" ht="26.25" customHeight="1">
      <c r="A300" s="498" t="s">
        <v>223</v>
      </c>
      <c r="B300" s="498"/>
      <c r="C300" s="499"/>
      <c r="D300" s="87"/>
      <c r="E300" s="500" t="str">
        <f>HYPERLINK("#目录!A125","跳转回到目录页")</f>
        <v>跳转回到目录页</v>
      </c>
      <c r="F300" s="501"/>
    </row>
    <row r="301" spans="1:13" s="88" customFormat="1" ht="26.25" customHeight="1">
      <c r="A301" s="502" t="s">
        <v>1216</v>
      </c>
      <c r="B301" s="502"/>
      <c r="C301" s="503" t="s">
        <v>224</v>
      </c>
      <c r="D301" s="503"/>
      <c r="E301" s="503"/>
      <c r="F301" s="503"/>
      <c r="G301" s="503"/>
      <c r="H301" s="503"/>
      <c r="I301" s="503"/>
      <c r="J301" s="503"/>
      <c r="K301" s="503"/>
      <c r="L301" s="503"/>
      <c r="M301" s="503"/>
    </row>
    <row r="302" spans="1:13" s="88" customFormat="1" ht="16.5" customHeight="1">
      <c r="A302" s="496" t="s">
        <v>1217</v>
      </c>
      <c r="B302" s="496"/>
      <c r="C302" s="493" t="s">
        <v>2543</v>
      </c>
      <c r="D302" s="493"/>
      <c r="E302" s="493"/>
      <c r="F302" s="493"/>
      <c r="G302" s="493"/>
      <c r="H302" s="493"/>
      <c r="I302" s="493"/>
      <c r="J302" s="493"/>
      <c r="K302" s="493"/>
      <c r="L302" s="493"/>
      <c r="M302" s="493"/>
    </row>
    <row r="303" spans="1:13" s="88" customFormat="1" ht="16.5" customHeight="1">
      <c r="A303" s="496" t="s">
        <v>5786</v>
      </c>
      <c r="B303" s="496"/>
      <c r="C303" s="497" t="s">
        <v>224</v>
      </c>
      <c r="D303" s="497"/>
      <c r="E303" s="497"/>
      <c r="F303" s="497"/>
      <c r="G303" s="497"/>
      <c r="H303" s="497"/>
      <c r="I303" s="497"/>
      <c r="J303" s="497"/>
      <c r="K303" s="497"/>
      <c r="L303" s="497"/>
      <c r="M303" s="497"/>
    </row>
    <row r="304" spans="1:13" s="88" customFormat="1" ht="16.5" customHeight="1">
      <c r="A304" s="496" t="s">
        <v>1220</v>
      </c>
      <c r="B304" s="496"/>
      <c r="C304" s="493" t="s">
        <v>2544</v>
      </c>
      <c r="D304" s="493"/>
      <c r="E304" s="493"/>
      <c r="F304" s="493"/>
      <c r="G304" s="493"/>
      <c r="H304" s="493"/>
      <c r="I304" s="493"/>
      <c r="J304" s="493"/>
      <c r="K304" s="493"/>
      <c r="L304" s="493"/>
      <c r="M304" s="493"/>
    </row>
    <row r="305" spans="1:13" s="88" customFormat="1" ht="16.5" customHeight="1">
      <c r="A305" s="496" t="s">
        <v>5785</v>
      </c>
      <c r="B305" s="496"/>
      <c r="C305" s="493" t="s">
        <v>2545</v>
      </c>
      <c r="D305" s="493"/>
      <c r="E305" s="493"/>
      <c r="F305" s="493"/>
      <c r="G305" s="493"/>
      <c r="H305" s="493"/>
      <c r="I305" s="493"/>
      <c r="J305" s="493"/>
      <c r="K305" s="493"/>
      <c r="L305" s="493"/>
      <c r="M305" s="493"/>
    </row>
    <row r="306" spans="1:13" s="88" customFormat="1" ht="16.5" customHeight="1">
      <c r="A306" s="89" t="s">
        <v>1223</v>
      </c>
      <c r="B306" s="92" t="s">
        <v>2200</v>
      </c>
      <c r="C306" s="493" t="s">
        <v>2332</v>
      </c>
      <c r="D306" s="493"/>
      <c r="E306" s="493"/>
      <c r="F306" s="493"/>
      <c r="G306" s="493"/>
      <c r="H306" s="493"/>
      <c r="I306" s="493"/>
      <c r="J306" s="493"/>
      <c r="K306" s="493"/>
      <c r="L306" s="493"/>
      <c r="M306" s="493"/>
    </row>
    <row r="307" spans="1:13" s="88" customFormat="1" ht="16.5" customHeight="1">
      <c r="A307" s="89"/>
      <c r="B307" s="92"/>
      <c r="C307" s="493"/>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16.5" customHeight="1">
      <c r="A310" s="89" t="s">
        <v>1229</v>
      </c>
      <c r="B310" s="493" t="s">
        <v>2546</v>
      </c>
      <c r="C310" s="493"/>
      <c r="D310" s="493"/>
      <c r="E310" s="493"/>
      <c r="F310" s="493"/>
      <c r="G310" s="493"/>
      <c r="H310" s="493"/>
      <c r="I310" s="493"/>
      <c r="J310" s="493"/>
      <c r="K310" s="493"/>
      <c r="L310" s="493"/>
      <c r="M310" s="493"/>
    </row>
    <row r="311" spans="1:13" ht="21" customHeight="1">
      <c r="B311" s="494" t="s">
        <v>1231</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c r="A315" s="85"/>
      <c r="B315" s="623" t="s">
        <v>2547</v>
      </c>
      <c r="C315" s="623"/>
      <c r="D315" s="623"/>
      <c r="E315" s="104" t="s">
        <v>1238</v>
      </c>
    </row>
    <row r="316" spans="1:13" ht="16.5" customHeight="1">
      <c r="B316" s="187">
        <v>-4</v>
      </c>
      <c r="C316" s="558">
        <f>ASINH(B316)</f>
        <v>-2.0947125472611012</v>
      </c>
      <c r="D316" s="559"/>
      <c r="E316" s="108" t="s">
        <v>2548</v>
      </c>
    </row>
    <row r="317" spans="1:13" ht="16.5" customHeight="1">
      <c r="B317" s="99">
        <v>-3</v>
      </c>
      <c r="C317" s="619">
        <f t="shared" ref="C317:C324" si="3">ASINH(B317)</f>
        <v>-1.8184464592320668</v>
      </c>
      <c r="D317" s="620"/>
      <c r="E317" s="93"/>
    </row>
    <row r="318" spans="1:13" ht="16.5" customHeight="1">
      <c r="B318" s="99">
        <v>-2</v>
      </c>
      <c r="C318" s="619">
        <f t="shared" si="3"/>
        <v>-1.4436354751788103</v>
      </c>
      <c r="D318" s="620"/>
      <c r="E318" s="93"/>
    </row>
    <row r="319" spans="1:13" ht="16.5" customHeight="1">
      <c r="B319" s="99">
        <v>-1</v>
      </c>
      <c r="C319" s="619">
        <f t="shared" si="3"/>
        <v>-0.88137358701954294</v>
      </c>
      <c r="D319" s="620"/>
      <c r="E319" s="93"/>
    </row>
    <row r="320" spans="1:13" ht="16.5" customHeight="1">
      <c r="B320" s="99">
        <v>0</v>
      </c>
      <c r="C320" s="619">
        <f t="shared" si="3"/>
        <v>0</v>
      </c>
      <c r="D320" s="620"/>
      <c r="E320" s="93"/>
    </row>
    <row r="321" spans="2:5" ht="16.5" customHeight="1">
      <c r="B321" s="99">
        <v>1</v>
      </c>
      <c r="C321" s="619">
        <f t="shared" si="3"/>
        <v>0.88137358701954294</v>
      </c>
      <c r="D321" s="620"/>
      <c r="E321" s="93"/>
    </row>
    <row r="322" spans="2:5" ht="16.5" customHeight="1">
      <c r="B322" s="99">
        <v>2</v>
      </c>
      <c r="C322" s="619">
        <f t="shared" si="3"/>
        <v>1.4436354751788103</v>
      </c>
      <c r="D322" s="620"/>
      <c r="E322" s="93"/>
    </row>
    <row r="323" spans="2:5" ht="16.5" customHeight="1">
      <c r="B323" s="99">
        <v>3</v>
      </c>
      <c r="C323" s="619">
        <f t="shared" si="3"/>
        <v>1.8184464592320668</v>
      </c>
      <c r="D323" s="620"/>
      <c r="E323" s="93"/>
    </row>
    <row r="324" spans="2:5" ht="16.5" customHeight="1">
      <c r="B324" s="105">
        <v>4</v>
      </c>
      <c r="C324" s="621">
        <f t="shared" si="3"/>
        <v>2.0947125472611012</v>
      </c>
      <c r="D324" s="622"/>
      <c r="E324" s="93"/>
    </row>
    <row r="400" spans="1:6" s="88" customFormat="1" ht="26.25" customHeight="1">
      <c r="A400" s="498" t="s">
        <v>225</v>
      </c>
      <c r="B400" s="498"/>
      <c r="C400" s="499"/>
      <c r="D400" s="87"/>
      <c r="E400" s="500" t="str">
        <f>HYPERLINK("#目录!A126","跳转回到目录页")</f>
        <v>跳转回到目录页</v>
      </c>
      <c r="F400" s="501"/>
    </row>
    <row r="401" spans="1:13" s="88" customFormat="1" ht="26.25" customHeight="1">
      <c r="A401" s="502" t="s">
        <v>1216</v>
      </c>
      <c r="B401" s="502"/>
      <c r="C401" s="503" t="s">
        <v>226</v>
      </c>
      <c r="D401" s="503"/>
      <c r="E401" s="503"/>
      <c r="F401" s="503"/>
      <c r="G401" s="503"/>
      <c r="H401" s="503"/>
      <c r="I401" s="503"/>
      <c r="J401" s="503"/>
      <c r="K401" s="503"/>
      <c r="L401" s="503"/>
      <c r="M401" s="503"/>
    </row>
    <row r="402" spans="1:13" s="88" customFormat="1" ht="24.75" customHeight="1">
      <c r="A402" s="496" t="s">
        <v>1217</v>
      </c>
      <c r="B402" s="496"/>
      <c r="C402" s="493" t="s">
        <v>2549</v>
      </c>
      <c r="D402" s="493"/>
      <c r="E402" s="493"/>
      <c r="F402" s="493"/>
      <c r="G402" s="493"/>
      <c r="H402" s="493"/>
      <c r="I402" s="493"/>
      <c r="J402" s="493"/>
      <c r="K402" s="493"/>
      <c r="L402" s="493"/>
      <c r="M402" s="493"/>
    </row>
    <row r="403" spans="1:13" s="88" customFormat="1" ht="16.5" customHeight="1">
      <c r="A403" s="496" t="s">
        <v>5786</v>
      </c>
      <c r="B403" s="496"/>
      <c r="C403" s="497" t="s">
        <v>226</v>
      </c>
      <c r="D403" s="497"/>
      <c r="E403" s="497"/>
      <c r="F403" s="497"/>
      <c r="G403" s="497"/>
      <c r="H403" s="497"/>
      <c r="I403" s="497"/>
      <c r="J403" s="497"/>
      <c r="K403" s="497"/>
      <c r="L403" s="497"/>
      <c r="M403" s="497"/>
    </row>
    <row r="404" spans="1:13" s="88" customFormat="1" ht="16.5" customHeight="1">
      <c r="A404" s="496" t="s">
        <v>1220</v>
      </c>
      <c r="B404" s="496"/>
      <c r="C404" s="493" t="s">
        <v>2550</v>
      </c>
      <c r="D404" s="493"/>
      <c r="E404" s="493"/>
      <c r="F404" s="493"/>
      <c r="G404" s="493"/>
      <c r="H404" s="493"/>
      <c r="I404" s="493"/>
      <c r="J404" s="493"/>
      <c r="K404" s="493"/>
      <c r="L404" s="493"/>
      <c r="M404" s="493"/>
    </row>
    <row r="405" spans="1:13" s="88" customFormat="1" ht="16.5" customHeight="1">
      <c r="A405" s="496" t="s">
        <v>5785</v>
      </c>
      <c r="B405" s="496"/>
      <c r="C405" s="493" t="s">
        <v>2551</v>
      </c>
      <c r="D405" s="493"/>
      <c r="E405" s="493"/>
      <c r="F405" s="493"/>
      <c r="G405" s="493"/>
      <c r="H405" s="493"/>
      <c r="I405" s="493"/>
      <c r="J405" s="493"/>
      <c r="K405" s="493"/>
      <c r="L405" s="493"/>
      <c r="M405" s="493"/>
    </row>
    <row r="406" spans="1:13" s="88" customFormat="1" ht="16.5" customHeight="1">
      <c r="A406" s="89" t="s">
        <v>1223</v>
      </c>
      <c r="B406" s="92" t="s">
        <v>2552</v>
      </c>
      <c r="C406" s="493" t="s">
        <v>2553</v>
      </c>
      <c r="D406" s="493"/>
      <c r="E406" s="493"/>
      <c r="F406" s="493"/>
      <c r="G406" s="493"/>
      <c r="H406" s="493"/>
      <c r="I406" s="493"/>
      <c r="J406" s="493"/>
      <c r="K406" s="493"/>
      <c r="L406" s="493"/>
      <c r="M406" s="493"/>
    </row>
    <row r="407" spans="1:13" s="88" customFormat="1" ht="16.5" customHeight="1">
      <c r="A407" s="89"/>
      <c r="B407" s="92"/>
      <c r="C407" s="493"/>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24.75" customHeight="1">
      <c r="A410" s="89" t="s">
        <v>1229</v>
      </c>
      <c r="B410" s="493" t="s">
        <v>2554</v>
      </c>
      <c r="C410" s="493"/>
      <c r="D410" s="493"/>
      <c r="E410" s="493"/>
      <c r="F410" s="493"/>
      <c r="G410" s="493"/>
      <c r="H410" s="493"/>
      <c r="I410" s="493"/>
      <c r="J410" s="493"/>
      <c r="K410" s="493"/>
      <c r="L410" s="493"/>
      <c r="M410" s="493"/>
    </row>
    <row r="411" spans="1:13" ht="21" customHeight="1">
      <c r="B411" s="494" t="s">
        <v>1231</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4" spans="1:13">
      <c r="A414" s="93"/>
      <c r="B414" s="93"/>
      <c r="C414" s="93"/>
      <c r="D414" s="93"/>
      <c r="E414" s="93"/>
      <c r="F414" s="93"/>
      <c r="G414" s="93"/>
      <c r="H414" s="93"/>
      <c r="I414" s="93"/>
      <c r="J414" s="93"/>
    </row>
    <row r="415" spans="1:13" ht="16.5" customHeight="1">
      <c r="A415" s="93"/>
      <c r="B415" s="93" t="s">
        <v>2555</v>
      </c>
      <c r="C415" s="93"/>
      <c r="D415" s="93"/>
      <c r="E415" s="93"/>
      <c r="F415" s="93"/>
      <c r="G415" s="93"/>
      <c r="H415" s="93"/>
      <c r="I415" s="93"/>
      <c r="J415" s="93"/>
    </row>
    <row r="416" spans="1:13" ht="16.5" customHeight="1">
      <c r="A416" s="93"/>
      <c r="B416" s="187">
        <v>1</v>
      </c>
      <c r="C416" s="558">
        <f>ACOSH(B416)</f>
        <v>0</v>
      </c>
      <c r="D416" s="559"/>
      <c r="E416" s="104" t="s">
        <v>1238</v>
      </c>
      <c r="F416" s="93"/>
      <c r="G416" s="93"/>
      <c r="H416" s="93"/>
      <c r="I416" s="93"/>
      <c r="J416" s="93"/>
    </row>
    <row r="417" spans="1:10" ht="16.5" customHeight="1">
      <c r="A417" s="93"/>
      <c r="B417" s="99">
        <v>1.1000000000000001</v>
      </c>
      <c r="C417" s="554">
        <f>ACOSH(B417)</f>
        <v>0.44356825438511532</v>
      </c>
      <c r="D417" s="555"/>
      <c r="E417" s="108" t="s">
        <v>2556</v>
      </c>
      <c r="F417" s="93"/>
      <c r="G417" s="93"/>
      <c r="H417" s="93"/>
      <c r="I417" s="93"/>
      <c r="J417" s="93"/>
    </row>
    <row r="418" spans="1:10" ht="16.5" customHeight="1">
      <c r="A418" s="93"/>
      <c r="B418" s="99">
        <v>1.2</v>
      </c>
      <c r="C418" s="554">
        <f t="shared" ref="C418:C431" si="4">ACOSH(B418)</f>
        <v>0.62236250371477853</v>
      </c>
      <c r="D418" s="555"/>
      <c r="E418" s="93"/>
      <c r="F418" s="93"/>
      <c r="G418" s="93"/>
      <c r="H418" s="93"/>
      <c r="I418" s="93"/>
      <c r="J418" s="93"/>
    </row>
    <row r="419" spans="1:10" ht="16.5" customHeight="1">
      <c r="A419" s="93"/>
      <c r="B419" s="99">
        <v>1.3</v>
      </c>
      <c r="C419" s="554">
        <f t="shared" si="4"/>
        <v>0.75643291085695963</v>
      </c>
      <c r="D419" s="555"/>
      <c r="E419" s="93"/>
      <c r="F419" s="93"/>
      <c r="G419" s="93"/>
      <c r="H419" s="93"/>
      <c r="I419" s="93"/>
      <c r="J419" s="93"/>
    </row>
    <row r="420" spans="1:10" ht="16.5" customHeight="1">
      <c r="A420" s="93"/>
      <c r="B420" s="99">
        <v>1.4</v>
      </c>
      <c r="C420" s="554">
        <f t="shared" si="4"/>
        <v>0.86701472649056499</v>
      </c>
      <c r="D420" s="555"/>
      <c r="E420" s="93"/>
      <c r="F420" s="93"/>
      <c r="G420" s="93"/>
      <c r="H420" s="93"/>
      <c r="I420" s="93"/>
      <c r="J420" s="93"/>
    </row>
    <row r="421" spans="1:10" ht="16.5" customHeight="1">
      <c r="A421" s="93"/>
      <c r="B421" s="99">
        <v>1.5</v>
      </c>
      <c r="C421" s="554">
        <f t="shared" si="4"/>
        <v>0.96242365011920694</v>
      </c>
      <c r="D421" s="555"/>
      <c r="E421" s="93"/>
      <c r="F421" s="93"/>
      <c r="G421" s="93"/>
      <c r="H421" s="93"/>
      <c r="I421" s="93"/>
      <c r="J421" s="93"/>
    </row>
    <row r="422" spans="1:10" ht="16.5" customHeight="1">
      <c r="A422" s="93"/>
      <c r="B422" s="99">
        <v>1.6</v>
      </c>
      <c r="C422" s="554">
        <f t="shared" si="4"/>
        <v>1.0469679150031885</v>
      </c>
      <c r="D422" s="555"/>
      <c r="E422" s="93"/>
      <c r="F422" s="93"/>
      <c r="G422" s="93"/>
      <c r="H422" s="93"/>
      <c r="I422" s="93"/>
      <c r="J422" s="93"/>
    </row>
    <row r="423" spans="1:10" ht="16.5" customHeight="1">
      <c r="A423" s="93"/>
      <c r="B423" s="99">
        <v>1.7</v>
      </c>
      <c r="C423" s="554">
        <f t="shared" si="4"/>
        <v>1.1232309825872959</v>
      </c>
      <c r="D423" s="555"/>
      <c r="E423" s="93"/>
      <c r="F423" s="93"/>
      <c r="G423" s="93"/>
      <c r="H423" s="93"/>
      <c r="I423" s="93"/>
      <c r="J423" s="93"/>
    </row>
    <row r="424" spans="1:10" ht="16.5" customHeight="1">
      <c r="A424" s="93"/>
      <c r="B424" s="99">
        <v>1.8</v>
      </c>
      <c r="C424" s="554">
        <f t="shared" si="4"/>
        <v>1.1929107309930491</v>
      </c>
      <c r="D424" s="555"/>
      <c r="E424" s="93"/>
      <c r="F424" s="93"/>
      <c r="G424" s="93"/>
      <c r="H424" s="93"/>
      <c r="I424" s="93"/>
      <c r="J424" s="93"/>
    </row>
    <row r="425" spans="1:10" ht="16.5" customHeight="1">
      <c r="A425" s="93"/>
      <c r="B425" s="99">
        <v>1.9</v>
      </c>
      <c r="C425" s="554">
        <f t="shared" si="4"/>
        <v>1.2571958266003804</v>
      </c>
      <c r="D425" s="555"/>
      <c r="E425" s="93"/>
      <c r="F425" s="93"/>
      <c r="G425" s="93"/>
      <c r="H425" s="93"/>
      <c r="I425" s="93"/>
      <c r="J425" s="93"/>
    </row>
    <row r="426" spans="1:10" ht="16.5" customHeight="1">
      <c r="A426" s="93"/>
      <c r="B426" s="99">
        <v>2</v>
      </c>
      <c r="C426" s="554">
        <f t="shared" si="4"/>
        <v>1.3169578969248166</v>
      </c>
      <c r="D426" s="555"/>
      <c r="E426" s="93"/>
      <c r="F426" s="93"/>
      <c r="G426" s="93"/>
      <c r="H426" s="93"/>
      <c r="I426" s="93"/>
      <c r="J426" s="93"/>
    </row>
    <row r="427" spans="1:10" ht="16.5" customHeight="1">
      <c r="A427" s="93"/>
      <c r="B427" s="99">
        <v>25</v>
      </c>
      <c r="C427" s="554">
        <f t="shared" si="4"/>
        <v>3.9116227652145885</v>
      </c>
      <c r="D427" s="555"/>
      <c r="E427" s="93"/>
      <c r="F427" s="93"/>
      <c r="G427" s="93"/>
      <c r="H427" s="93"/>
      <c r="I427" s="93"/>
      <c r="J427" s="93"/>
    </row>
    <row r="428" spans="1:10" ht="16.5" customHeight="1">
      <c r="A428" s="93"/>
      <c r="B428" s="99">
        <v>3</v>
      </c>
      <c r="C428" s="554">
        <f t="shared" si="4"/>
        <v>1.7627471740390861</v>
      </c>
      <c r="D428" s="555"/>
      <c r="E428" s="93"/>
      <c r="F428" s="93"/>
      <c r="G428" s="93"/>
      <c r="H428" s="93"/>
      <c r="I428" s="93"/>
      <c r="J428" s="93"/>
    </row>
    <row r="429" spans="1:10" ht="16.5" customHeight="1">
      <c r="A429" s="93"/>
      <c r="B429" s="99">
        <v>4</v>
      </c>
      <c r="C429" s="554">
        <f t="shared" si="4"/>
        <v>2.0634370688955608</v>
      </c>
      <c r="D429" s="555"/>
      <c r="E429" s="93"/>
      <c r="F429" s="93"/>
      <c r="G429" s="93"/>
      <c r="H429" s="93"/>
      <c r="I429" s="93"/>
      <c r="J429" s="93"/>
    </row>
    <row r="430" spans="1:10" ht="16.5" customHeight="1">
      <c r="A430" s="93"/>
      <c r="B430" s="99">
        <v>5</v>
      </c>
      <c r="C430" s="554">
        <f t="shared" si="4"/>
        <v>2.2924316695611777</v>
      </c>
      <c r="D430" s="555"/>
      <c r="E430" s="93"/>
      <c r="F430" s="93"/>
      <c r="G430" s="93"/>
      <c r="H430" s="93"/>
      <c r="I430" s="93"/>
      <c r="J430" s="93"/>
    </row>
    <row r="431" spans="1:10" ht="16.5" customHeight="1">
      <c r="A431" s="93"/>
      <c r="B431" s="105">
        <v>6</v>
      </c>
      <c r="C431" s="556">
        <f t="shared" si="4"/>
        <v>2.4778887302884751</v>
      </c>
      <c r="D431" s="557"/>
      <c r="E431" s="93"/>
      <c r="F431" s="93"/>
      <c r="G431" s="93"/>
      <c r="H431" s="93"/>
      <c r="I431" s="93"/>
      <c r="J431" s="93"/>
    </row>
    <row r="500" spans="1:13" s="88" customFormat="1" ht="26.25" customHeight="1">
      <c r="A500" s="498" t="s">
        <v>227</v>
      </c>
      <c r="B500" s="498"/>
      <c r="C500" s="499"/>
      <c r="D500" s="87"/>
      <c r="E500" s="500" t="str">
        <f>HYPERLINK("#目录!A127","跳转回到目录页")</f>
        <v>跳转回到目录页</v>
      </c>
      <c r="F500" s="501"/>
    </row>
    <row r="501" spans="1:13" s="88" customFormat="1" ht="26.25" customHeight="1">
      <c r="A501" s="502" t="s">
        <v>1216</v>
      </c>
      <c r="B501" s="502"/>
      <c r="C501" s="503" t="s">
        <v>228</v>
      </c>
      <c r="D501" s="503"/>
      <c r="E501" s="503"/>
      <c r="F501" s="503"/>
      <c r="G501" s="503"/>
      <c r="H501" s="503"/>
      <c r="I501" s="503"/>
      <c r="J501" s="503"/>
      <c r="K501" s="503"/>
      <c r="L501" s="503"/>
      <c r="M501" s="503"/>
    </row>
    <row r="502" spans="1:13" s="88" customFormat="1" ht="24.75" customHeight="1">
      <c r="A502" s="496" t="s">
        <v>1217</v>
      </c>
      <c r="B502" s="496"/>
      <c r="C502" s="493" t="s">
        <v>2557</v>
      </c>
      <c r="D502" s="493"/>
      <c r="E502" s="493"/>
      <c r="F502" s="493"/>
      <c r="G502" s="493"/>
      <c r="H502" s="493"/>
      <c r="I502" s="493"/>
      <c r="J502" s="493"/>
      <c r="K502" s="493"/>
      <c r="L502" s="493"/>
      <c r="M502" s="493"/>
    </row>
    <row r="503" spans="1:13" s="88" customFormat="1" ht="16.5" customHeight="1">
      <c r="A503" s="496" t="s">
        <v>5786</v>
      </c>
      <c r="B503" s="496"/>
      <c r="C503" s="497" t="s">
        <v>2558</v>
      </c>
      <c r="D503" s="497"/>
      <c r="E503" s="497"/>
      <c r="F503" s="497"/>
      <c r="G503" s="497"/>
      <c r="H503" s="497"/>
      <c r="I503" s="497"/>
      <c r="J503" s="497"/>
      <c r="K503" s="497"/>
      <c r="L503" s="497"/>
      <c r="M503" s="497"/>
    </row>
    <row r="504" spans="1:13" s="88" customFormat="1" ht="16.5" customHeight="1">
      <c r="A504" s="496" t="s">
        <v>1220</v>
      </c>
      <c r="B504" s="496"/>
      <c r="C504" s="493" t="s">
        <v>2559</v>
      </c>
      <c r="D504" s="493"/>
      <c r="E504" s="493"/>
      <c r="F504" s="493"/>
      <c r="G504" s="493"/>
      <c r="H504" s="493"/>
      <c r="I504" s="493"/>
      <c r="J504" s="493"/>
      <c r="K504" s="493"/>
      <c r="L504" s="493"/>
      <c r="M504" s="493"/>
    </row>
    <row r="505" spans="1:13" s="88" customFormat="1" ht="16.5" customHeight="1">
      <c r="A505" s="496" t="s">
        <v>5785</v>
      </c>
      <c r="B505" s="496"/>
      <c r="C505" s="493" t="s">
        <v>2560</v>
      </c>
      <c r="D505" s="493"/>
      <c r="E505" s="493"/>
      <c r="F505" s="493"/>
      <c r="G505" s="493"/>
      <c r="H505" s="493"/>
      <c r="I505" s="493"/>
      <c r="J505" s="493"/>
      <c r="K505" s="493"/>
      <c r="L505" s="493"/>
      <c r="M505" s="493"/>
    </row>
    <row r="506" spans="1:13" s="88" customFormat="1" ht="16.5" customHeight="1">
      <c r="A506" s="89" t="s">
        <v>1223</v>
      </c>
      <c r="B506" s="92" t="s">
        <v>2200</v>
      </c>
      <c r="C506" s="618" t="s">
        <v>2561</v>
      </c>
      <c r="D506" s="493"/>
      <c r="E506" s="493"/>
      <c r="F506" s="493"/>
      <c r="G506" s="493"/>
      <c r="H506" s="493"/>
      <c r="I506" s="493"/>
      <c r="J506" s="493"/>
      <c r="K506" s="493"/>
      <c r="L506" s="493"/>
      <c r="M506" s="493"/>
    </row>
    <row r="507" spans="1:13" s="88" customFormat="1" ht="16.5" customHeight="1">
      <c r="A507" s="89"/>
      <c r="B507" s="92"/>
      <c r="C507" s="493"/>
      <c r="D507" s="493"/>
      <c r="E507" s="493"/>
      <c r="F507" s="493"/>
      <c r="G507" s="493"/>
      <c r="H507" s="493"/>
      <c r="I507" s="493"/>
      <c r="J507" s="493"/>
      <c r="K507" s="493"/>
      <c r="L507" s="493"/>
      <c r="M507" s="493"/>
    </row>
    <row r="508" spans="1:13" s="88" customFormat="1" ht="16.5" customHeight="1">
      <c r="A508" s="89"/>
      <c r="B508" s="90"/>
      <c r="C508" s="493"/>
      <c r="D508" s="493"/>
      <c r="E508" s="493"/>
      <c r="F508" s="493"/>
      <c r="G508" s="493"/>
      <c r="H508" s="493"/>
      <c r="I508" s="493"/>
      <c r="J508" s="493"/>
      <c r="K508" s="493"/>
      <c r="L508" s="493"/>
      <c r="M508" s="493"/>
    </row>
    <row r="509" spans="1:13" s="88" customFormat="1" ht="16.5" customHeight="1">
      <c r="A509" s="89" t="s">
        <v>1228</v>
      </c>
      <c r="B509" s="493"/>
      <c r="C509" s="493"/>
      <c r="D509" s="493"/>
      <c r="E509" s="493"/>
      <c r="F509" s="493"/>
      <c r="G509" s="493"/>
      <c r="H509" s="493"/>
      <c r="I509" s="493"/>
      <c r="J509" s="493"/>
      <c r="K509" s="493"/>
      <c r="L509" s="493"/>
      <c r="M509" s="493"/>
    </row>
    <row r="510" spans="1:13" ht="24.75" customHeight="1">
      <c r="A510" s="89" t="s">
        <v>1229</v>
      </c>
      <c r="B510" s="493" t="s">
        <v>2562</v>
      </c>
      <c r="C510" s="493"/>
      <c r="D510" s="493"/>
      <c r="E510" s="493"/>
      <c r="F510" s="493"/>
      <c r="G510" s="493"/>
      <c r="H510" s="493"/>
      <c r="I510" s="493"/>
      <c r="J510" s="493"/>
      <c r="K510" s="493"/>
      <c r="L510" s="493"/>
      <c r="M510" s="493"/>
    </row>
    <row r="511" spans="1:13" ht="21" customHeight="1">
      <c r="B511" s="494" t="s">
        <v>1231</v>
      </c>
      <c r="C511" s="494"/>
      <c r="D511" s="494"/>
      <c r="E511" s="494"/>
      <c r="F511" s="494"/>
      <c r="G511" s="494"/>
      <c r="H511" s="494"/>
      <c r="I511" s="494"/>
      <c r="J511" s="494"/>
      <c r="K511" s="494"/>
      <c r="L511" s="495"/>
    </row>
    <row r="512" spans="1:13" s="93" customFormat="1" ht="16.5" customHeight="1"/>
    <row r="513" spans="1:8" s="93" customFormat="1" ht="16.5" customHeight="1">
      <c r="A513" s="94" t="s">
        <v>1232</v>
      </c>
      <c r="B513" s="93" t="s">
        <v>1773</v>
      </c>
      <c r="H513" s="4"/>
    </row>
    <row r="514" spans="1:8" ht="16.5" customHeight="1">
      <c r="A514" s="93"/>
      <c r="B514" s="93"/>
      <c r="C514" s="93"/>
      <c r="D514" s="93"/>
      <c r="E514" s="93"/>
      <c r="F514" s="93"/>
      <c r="G514" s="93"/>
    </row>
    <row r="515" spans="1:8" ht="16.5" customHeight="1">
      <c r="A515" s="93"/>
      <c r="B515" s="565" t="s">
        <v>2563</v>
      </c>
      <c r="C515" s="565"/>
      <c r="D515" s="565"/>
      <c r="E515" s="104" t="s">
        <v>1238</v>
      </c>
      <c r="F515" s="93"/>
      <c r="G515" s="93"/>
    </row>
    <row r="516" spans="1:8" ht="16.5" customHeight="1">
      <c r="A516" s="93"/>
      <c r="B516" s="187">
        <v>-0.995</v>
      </c>
      <c r="C516" s="558">
        <f>ATANH(B516)</f>
        <v>-2.9944807084449314</v>
      </c>
      <c r="D516" s="559"/>
      <c r="E516" s="108" t="s">
        <v>2564</v>
      </c>
      <c r="F516" s="93"/>
      <c r="G516" s="93"/>
    </row>
    <row r="517" spans="1:8" ht="16.5" customHeight="1">
      <c r="A517" s="93"/>
      <c r="B517" s="99">
        <v>-0.99</v>
      </c>
      <c r="C517" s="554">
        <f t="shared" ref="C517:C532" si="5">ATANH(B517)</f>
        <v>-2.6466524123622457</v>
      </c>
      <c r="D517" s="555"/>
      <c r="E517" s="93"/>
      <c r="F517" s="93"/>
      <c r="G517" s="93"/>
    </row>
    <row r="518" spans="1:8" ht="16.5" customHeight="1">
      <c r="A518" s="93"/>
      <c r="B518" s="99">
        <v>-0.98</v>
      </c>
      <c r="C518" s="554">
        <f t="shared" si="5"/>
        <v>-2.2975599250672945</v>
      </c>
      <c r="D518" s="555"/>
      <c r="E518" s="93"/>
      <c r="F518" s="93"/>
      <c r="G518" s="93"/>
    </row>
    <row r="519" spans="1:8" ht="16.5" customHeight="1">
      <c r="A519" s="93"/>
      <c r="B519" s="99">
        <v>-0.97</v>
      </c>
      <c r="C519" s="554">
        <f t="shared" si="5"/>
        <v>-2.0922957200349388</v>
      </c>
      <c r="D519" s="555"/>
      <c r="E519" s="93"/>
      <c r="F519" s="93"/>
      <c r="G519" s="93"/>
    </row>
    <row r="520" spans="1:8" ht="16.5" customHeight="1">
      <c r="A520" s="93"/>
      <c r="B520" s="99">
        <v>-0.95</v>
      </c>
      <c r="C520" s="554">
        <f t="shared" si="5"/>
        <v>-1.8317808230648227</v>
      </c>
      <c r="D520" s="555"/>
      <c r="E520" s="93"/>
      <c r="F520" s="93"/>
      <c r="G520" s="93"/>
    </row>
    <row r="521" spans="1:8" ht="16.5" customHeight="1">
      <c r="A521" s="93"/>
      <c r="B521" s="99">
        <v>-0.9</v>
      </c>
      <c r="C521" s="554">
        <f t="shared" si="5"/>
        <v>-1.4722194895832204</v>
      </c>
      <c r="D521" s="555"/>
      <c r="E521" s="93"/>
      <c r="F521" s="93"/>
      <c r="G521" s="93"/>
    </row>
    <row r="522" spans="1:8" ht="16.5" customHeight="1">
      <c r="A522" s="93"/>
      <c r="B522" s="99">
        <v>-0.8</v>
      </c>
      <c r="C522" s="554">
        <f t="shared" si="5"/>
        <v>-1.0986122886681098</v>
      </c>
      <c r="D522" s="555"/>
      <c r="E522" s="93"/>
      <c r="F522" s="93"/>
      <c r="G522" s="93"/>
    </row>
    <row r="523" spans="1:8" ht="16.5" customHeight="1">
      <c r="A523" s="93"/>
      <c r="B523" s="99">
        <v>-0.5</v>
      </c>
      <c r="C523" s="554">
        <f t="shared" si="5"/>
        <v>-0.54930614433405489</v>
      </c>
      <c r="D523" s="555"/>
      <c r="E523" s="93"/>
      <c r="F523" s="93"/>
      <c r="G523" s="93"/>
    </row>
    <row r="524" spans="1:8" ht="16.5" customHeight="1">
      <c r="A524" s="93"/>
      <c r="B524" s="99">
        <v>0</v>
      </c>
      <c r="C524" s="554">
        <f t="shared" si="5"/>
        <v>0</v>
      </c>
      <c r="D524" s="555"/>
      <c r="E524" s="93"/>
      <c r="F524" s="93"/>
      <c r="G524" s="93"/>
    </row>
    <row r="525" spans="1:8" ht="16.5" customHeight="1">
      <c r="A525" s="93"/>
      <c r="B525" s="99">
        <v>0.5</v>
      </c>
      <c r="C525" s="554">
        <f t="shared" si="5"/>
        <v>0.54930614433405489</v>
      </c>
      <c r="D525" s="555"/>
      <c r="E525" s="93"/>
      <c r="F525" s="93"/>
      <c r="G525" s="93"/>
    </row>
    <row r="526" spans="1:8" ht="16.5" customHeight="1">
      <c r="A526" s="93"/>
      <c r="B526" s="99">
        <v>0.8</v>
      </c>
      <c r="C526" s="554">
        <f t="shared" si="5"/>
        <v>1.0986122886681098</v>
      </c>
      <c r="D526" s="555"/>
      <c r="E526" s="93"/>
      <c r="F526" s="93"/>
      <c r="G526" s="93"/>
    </row>
    <row r="527" spans="1:8" ht="16.5" customHeight="1">
      <c r="A527" s="93"/>
      <c r="B527" s="99">
        <v>0.9</v>
      </c>
      <c r="C527" s="554">
        <f t="shared" si="5"/>
        <v>1.4722194895832204</v>
      </c>
      <c r="D527" s="555"/>
      <c r="E527" s="93"/>
      <c r="F527" s="93"/>
      <c r="G527" s="93"/>
    </row>
    <row r="528" spans="1:8" ht="16.5" customHeight="1">
      <c r="A528" s="93"/>
      <c r="B528" s="99">
        <v>0.95</v>
      </c>
      <c r="C528" s="554">
        <f t="shared" si="5"/>
        <v>1.8317808230648227</v>
      </c>
      <c r="D528" s="555"/>
      <c r="E528" s="93"/>
      <c r="F528" s="93"/>
      <c r="G528" s="93"/>
    </row>
    <row r="529" spans="1:7" ht="16.5" customHeight="1">
      <c r="A529" s="93"/>
      <c r="B529" s="99">
        <v>0.97</v>
      </c>
      <c r="C529" s="554">
        <f t="shared" si="5"/>
        <v>2.0922957200349388</v>
      </c>
      <c r="D529" s="555"/>
      <c r="E529" s="93"/>
      <c r="F529" s="93"/>
      <c r="G529" s="93"/>
    </row>
    <row r="530" spans="1:7" ht="16.5" customHeight="1">
      <c r="A530" s="93"/>
      <c r="B530" s="99">
        <v>0.98</v>
      </c>
      <c r="C530" s="554">
        <f t="shared" si="5"/>
        <v>2.2975599250672945</v>
      </c>
      <c r="D530" s="555"/>
      <c r="E530" s="93"/>
      <c r="F530" s="93"/>
      <c r="G530" s="93"/>
    </row>
    <row r="531" spans="1:7" ht="16.5" customHeight="1">
      <c r="A531" s="93"/>
      <c r="B531" s="99">
        <v>0.99</v>
      </c>
      <c r="C531" s="554">
        <f t="shared" si="5"/>
        <v>2.6466524123622457</v>
      </c>
      <c r="D531" s="555"/>
      <c r="E531" s="93"/>
      <c r="F531" s="93"/>
      <c r="G531" s="93"/>
    </row>
    <row r="532" spans="1:7" ht="16.5" customHeight="1">
      <c r="A532" s="93"/>
      <c r="B532" s="105">
        <v>0.995</v>
      </c>
      <c r="C532" s="556">
        <f t="shared" si="5"/>
        <v>2.9944807084449314</v>
      </c>
      <c r="D532" s="557"/>
      <c r="E532" s="93"/>
      <c r="F532" s="93"/>
      <c r="G532" s="93"/>
    </row>
  </sheetData>
  <mergeCells count="182">
    <mergeCell ref="A4:B4"/>
    <mergeCell ref="C4:M4"/>
    <mergeCell ref="A5:B5"/>
    <mergeCell ref="C5:M5"/>
    <mergeCell ref="A6:B6"/>
    <mergeCell ref="C6:M6"/>
    <mergeCell ref="A1:C1"/>
    <mergeCell ref="E1:F1"/>
    <mergeCell ref="A2:B2"/>
    <mergeCell ref="C2:M2"/>
    <mergeCell ref="A3:B3"/>
    <mergeCell ref="C3:M3"/>
    <mergeCell ref="B16:D16"/>
    <mergeCell ref="C17:D17"/>
    <mergeCell ref="C18:D18"/>
    <mergeCell ref="C19:D19"/>
    <mergeCell ref="C20:D20"/>
    <mergeCell ref="C21:D21"/>
    <mergeCell ref="C7:M7"/>
    <mergeCell ref="C8:M8"/>
    <mergeCell ref="C9:M9"/>
    <mergeCell ref="B10:M10"/>
    <mergeCell ref="B11:M11"/>
    <mergeCell ref="B12:L12"/>
    <mergeCell ref="A101:B101"/>
    <mergeCell ref="C101:M101"/>
    <mergeCell ref="A102:B102"/>
    <mergeCell ref="C102:M102"/>
    <mergeCell ref="A103:B103"/>
    <mergeCell ref="C103:M103"/>
    <mergeCell ref="C22:D22"/>
    <mergeCell ref="C23:D23"/>
    <mergeCell ref="C24:D24"/>
    <mergeCell ref="C25:D25"/>
    <mergeCell ref="A100:C100"/>
    <mergeCell ref="E100:F100"/>
    <mergeCell ref="C108:M108"/>
    <mergeCell ref="B109:M109"/>
    <mergeCell ref="B110:M110"/>
    <mergeCell ref="B111:L111"/>
    <mergeCell ref="B115:D115"/>
    <mergeCell ref="C116:D116"/>
    <mergeCell ref="A104:B104"/>
    <mergeCell ref="C104:M104"/>
    <mergeCell ref="A105:B105"/>
    <mergeCell ref="C105:M105"/>
    <mergeCell ref="C106:M106"/>
    <mergeCell ref="C107:M107"/>
    <mergeCell ref="C123:D123"/>
    <mergeCell ref="C124:D124"/>
    <mergeCell ref="A200:C200"/>
    <mergeCell ref="E200:F200"/>
    <mergeCell ref="A201:B201"/>
    <mergeCell ref="C201:M201"/>
    <mergeCell ref="C117:D117"/>
    <mergeCell ref="C118:D118"/>
    <mergeCell ref="C119:D119"/>
    <mergeCell ref="C120:D120"/>
    <mergeCell ref="C121:D121"/>
    <mergeCell ref="C122:D122"/>
    <mergeCell ref="A205:B205"/>
    <mergeCell ref="C205:M205"/>
    <mergeCell ref="C206:M206"/>
    <mergeCell ref="C207:M207"/>
    <mergeCell ref="C208:M208"/>
    <mergeCell ref="B209:M209"/>
    <mergeCell ref="A202:B202"/>
    <mergeCell ref="C202:M202"/>
    <mergeCell ref="A203:B203"/>
    <mergeCell ref="C203:M203"/>
    <mergeCell ref="A204:B204"/>
    <mergeCell ref="C204:M204"/>
    <mergeCell ref="C219:D219"/>
    <mergeCell ref="C220:D220"/>
    <mergeCell ref="C221:D221"/>
    <mergeCell ref="C222:D222"/>
    <mergeCell ref="C223:D223"/>
    <mergeCell ref="C224:D224"/>
    <mergeCell ref="B210:M210"/>
    <mergeCell ref="B211:L211"/>
    <mergeCell ref="B215:D215"/>
    <mergeCell ref="C216:D216"/>
    <mergeCell ref="C217:D217"/>
    <mergeCell ref="C218:D218"/>
    <mergeCell ref="A303:B303"/>
    <mergeCell ref="C303:M303"/>
    <mergeCell ref="A304:B304"/>
    <mergeCell ref="C304:M304"/>
    <mergeCell ref="A305:B305"/>
    <mergeCell ref="C305:M305"/>
    <mergeCell ref="A300:C300"/>
    <mergeCell ref="E300:F300"/>
    <mergeCell ref="A301:B301"/>
    <mergeCell ref="C301:M301"/>
    <mergeCell ref="A302:B302"/>
    <mergeCell ref="C302:M302"/>
    <mergeCell ref="B315:D315"/>
    <mergeCell ref="C316:D316"/>
    <mergeCell ref="C317:D317"/>
    <mergeCell ref="C318:D318"/>
    <mergeCell ref="C319:D319"/>
    <mergeCell ref="C320:D320"/>
    <mergeCell ref="C306:M306"/>
    <mergeCell ref="C307:M307"/>
    <mergeCell ref="C308:M308"/>
    <mergeCell ref="B309:M309"/>
    <mergeCell ref="B310:M310"/>
    <mergeCell ref="B311:L311"/>
    <mergeCell ref="A401:B401"/>
    <mergeCell ref="C401:M401"/>
    <mergeCell ref="A402:B402"/>
    <mergeCell ref="C402:M402"/>
    <mergeCell ref="A403:B403"/>
    <mergeCell ref="C403:M403"/>
    <mergeCell ref="C321:D321"/>
    <mergeCell ref="C322:D322"/>
    <mergeCell ref="C323:D323"/>
    <mergeCell ref="C324:D324"/>
    <mergeCell ref="A400:C400"/>
    <mergeCell ref="E400:F400"/>
    <mergeCell ref="C408:M408"/>
    <mergeCell ref="B409:M409"/>
    <mergeCell ref="B410:M410"/>
    <mergeCell ref="B411:L411"/>
    <mergeCell ref="C416:D416"/>
    <mergeCell ref="C417:D417"/>
    <mergeCell ref="A404:B404"/>
    <mergeCell ref="C404:M404"/>
    <mergeCell ref="A405:B405"/>
    <mergeCell ref="C405:M405"/>
    <mergeCell ref="C406:M406"/>
    <mergeCell ref="C407:M407"/>
    <mergeCell ref="C424:D424"/>
    <mergeCell ref="C425:D425"/>
    <mergeCell ref="C426:D426"/>
    <mergeCell ref="C427:D427"/>
    <mergeCell ref="C428:D428"/>
    <mergeCell ref="C429:D429"/>
    <mergeCell ref="C418:D418"/>
    <mergeCell ref="C419:D419"/>
    <mergeCell ref="C420:D420"/>
    <mergeCell ref="C421:D421"/>
    <mergeCell ref="C422:D422"/>
    <mergeCell ref="C423:D423"/>
    <mergeCell ref="A502:B502"/>
    <mergeCell ref="C502:M502"/>
    <mergeCell ref="A503:B503"/>
    <mergeCell ref="C503:M503"/>
    <mergeCell ref="A504:B504"/>
    <mergeCell ref="C504:M504"/>
    <mergeCell ref="C430:D430"/>
    <mergeCell ref="C431:D431"/>
    <mergeCell ref="A500:C500"/>
    <mergeCell ref="E500:F500"/>
    <mergeCell ref="A501:B501"/>
    <mergeCell ref="C501:M501"/>
    <mergeCell ref="B510:M510"/>
    <mergeCell ref="B511:L511"/>
    <mergeCell ref="B515:D515"/>
    <mergeCell ref="C516:D516"/>
    <mergeCell ref="C517:D517"/>
    <mergeCell ref="C518:D518"/>
    <mergeCell ref="A505:B505"/>
    <mergeCell ref="C505:M505"/>
    <mergeCell ref="C506:M506"/>
    <mergeCell ref="C507:M507"/>
    <mergeCell ref="C508:M508"/>
    <mergeCell ref="B509:M509"/>
    <mergeCell ref="C531:D531"/>
    <mergeCell ref="C532:D532"/>
    <mergeCell ref="C525:D525"/>
    <mergeCell ref="C526:D526"/>
    <mergeCell ref="C527:D527"/>
    <mergeCell ref="C528:D528"/>
    <mergeCell ref="C529:D529"/>
    <mergeCell ref="C530:D530"/>
    <mergeCell ref="C519:D519"/>
    <mergeCell ref="C520:D520"/>
    <mergeCell ref="C521:D521"/>
    <mergeCell ref="C522:D522"/>
    <mergeCell ref="C523:D523"/>
    <mergeCell ref="C524:D524"/>
  </mergeCells>
  <phoneticPr fontId="2" type="noConversion"/>
  <pageMargins left="0.75" right="0.75" top="1" bottom="1" header="0.5" footer="0.5"/>
  <pageSetup paperSize="9" orientation="portrait" horizontalDpi="0" verticalDpi="0"/>
  <headerFooter scaleWithDoc="0"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V224"/>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231</v>
      </c>
      <c r="B1" s="498"/>
      <c r="C1" s="499"/>
      <c r="D1" s="87"/>
      <c r="E1" s="500" t="str">
        <f>HYPERLINK("#目录!A129","跳转回到目录页")</f>
        <v>跳转回到目录页</v>
      </c>
      <c r="F1" s="501"/>
    </row>
    <row r="2" spans="1:48" s="88" customFormat="1" ht="26.25" customHeight="1">
      <c r="A2" s="502" t="s">
        <v>1216</v>
      </c>
      <c r="B2" s="502"/>
      <c r="C2" s="503" t="s">
        <v>232</v>
      </c>
      <c r="D2" s="503"/>
      <c r="E2" s="503"/>
      <c r="F2" s="503"/>
      <c r="G2" s="503"/>
      <c r="H2" s="503"/>
      <c r="I2" s="503"/>
      <c r="J2" s="503"/>
      <c r="K2" s="503"/>
      <c r="L2" s="503"/>
      <c r="M2" s="503"/>
    </row>
    <row r="3" spans="1:48" s="88" customFormat="1" ht="16.5" customHeight="1">
      <c r="A3" s="496" t="s">
        <v>1217</v>
      </c>
      <c r="B3" s="496"/>
      <c r="C3" s="493" t="s">
        <v>2565</v>
      </c>
      <c r="D3" s="493"/>
      <c r="E3" s="493"/>
      <c r="F3" s="493"/>
      <c r="G3" s="493"/>
      <c r="H3" s="493"/>
      <c r="I3" s="493"/>
      <c r="J3" s="493"/>
      <c r="K3" s="493"/>
      <c r="L3" s="493"/>
      <c r="M3" s="493"/>
    </row>
    <row r="4" spans="1:48" s="88" customFormat="1" ht="16.5" customHeight="1">
      <c r="A4" s="496" t="s">
        <v>5786</v>
      </c>
      <c r="B4" s="496"/>
      <c r="C4" s="497" t="s">
        <v>232</v>
      </c>
      <c r="D4" s="497"/>
      <c r="E4" s="497"/>
      <c r="F4" s="497"/>
      <c r="G4" s="497"/>
      <c r="H4" s="497"/>
      <c r="I4" s="497"/>
      <c r="J4" s="497"/>
      <c r="K4" s="497"/>
      <c r="L4" s="497"/>
      <c r="M4" s="497"/>
    </row>
    <row r="5" spans="1:48" s="88" customFormat="1" ht="16.5" customHeight="1">
      <c r="A5" s="496" t="s">
        <v>1220</v>
      </c>
      <c r="B5" s="496"/>
      <c r="C5" s="493" t="s">
        <v>2566</v>
      </c>
      <c r="D5" s="493"/>
      <c r="E5" s="493"/>
      <c r="F5" s="493"/>
      <c r="G5" s="493"/>
      <c r="H5" s="493"/>
      <c r="I5" s="493"/>
      <c r="J5" s="493"/>
      <c r="K5" s="493"/>
      <c r="L5" s="493"/>
      <c r="M5" s="493"/>
    </row>
    <row r="6" spans="1:48" s="88" customFormat="1" ht="16.5" customHeight="1">
      <c r="A6" s="496" t="s">
        <v>5785</v>
      </c>
      <c r="B6" s="496"/>
      <c r="C6" s="493" t="s">
        <v>2567</v>
      </c>
      <c r="D6" s="493"/>
      <c r="E6" s="493"/>
      <c r="F6" s="493"/>
      <c r="G6" s="493"/>
      <c r="H6" s="493"/>
      <c r="I6" s="493"/>
      <c r="J6" s="493"/>
      <c r="K6" s="493"/>
      <c r="L6" s="493"/>
      <c r="M6" s="493"/>
    </row>
    <row r="7" spans="1:48" s="88" customFormat="1" ht="16.5" customHeight="1">
      <c r="A7" s="89" t="s">
        <v>1223</v>
      </c>
      <c r="B7" s="92" t="s">
        <v>2568</v>
      </c>
      <c r="C7" s="493" t="s">
        <v>2569</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87" customHeight="1">
      <c r="A11" s="89" t="s">
        <v>1229</v>
      </c>
      <c r="B11" s="493" t="s">
        <v>2570</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c r="G14" s="161"/>
    </row>
    <row r="15" spans="1:48" s="93" customFormat="1" ht="16.5" customHeight="1">
      <c r="G15" s="16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3" t="s">
        <v>232</v>
      </c>
      <c r="G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C17" s="94" t="s">
        <v>2571</v>
      </c>
      <c r="G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87">
        <v>5</v>
      </c>
      <c r="C18" s="188">
        <v>1</v>
      </c>
      <c r="D18" s="138">
        <v>3</v>
      </c>
      <c r="F18" s="93" t="s">
        <v>2572</v>
      </c>
      <c r="G18" s="104" t="s">
        <v>1238</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4</v>
      </c>
      <c r="C19" s="110">
        <v>-6</v>
      </c>
      <c r="D19" s="101">
        <v>4</v>
      </c>
      <c r="F19" s="93">
        <f>MDETERM(B18:D20)</f>
        <v>2.0000000000000071</v>
      </c>
      <c r="G19" s="108" t="s">
        <v>2573</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05">
        <v>2</v>
      </c>
      <c r="C20" s="113">
        <v>1</v>
      </c>
      <c r="D20" s="107">
        <v>1</v>
      </c>
      <c r="G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G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4.25" customHeight="1">
      <c r="A23" s="94"/>
      <c r="G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4.25" customHeight="1">
      <c r="G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4.25" customHeight="1">
      <c r="G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4.25" customHeight="1">
      <c r="G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4.25" customHeight="1">
      <c r="G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4.25" customHeight="1">
      <c r="G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4.25" customHeight="1">
      <c r="G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4.25" customHeight="1">
      <c r="G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4.25" customHeight="1">
      <c r="G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4.2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2:48" s="93" customFormat="1" ht="14.25" customHeight="1">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2:48" s="93" customFormat="1" ht="14.2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2:48" s="93" customFormat="1" ht="14.2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2:48" s="93" customFormat="1" ht="14.2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2:48" s="93" customFormat="1" ht="14.2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2:48" s="93" customFormat="1" ht="14.2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2:48" s="93" customFormat="1" ht="14.2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2:48" s="93" customFormat="1" ht="14.25" customHeight="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2:48" s="93" customFormat="1" ht="14.25" customHeight="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2:48" s="93" customFormat="1" ht="14.25" customHeight="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2:48" s="93" customFormat="1" ht="14.25" customHeight="1">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2:48" s="93" customFormat="1" ht="14.25" customHeight="1">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2:48" s="93" customFormat="1" ht="14.25" customHeight="1">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2:48" s="93" customFormat="1" ht="14.25" customHeight="1">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2:48" s="93" customFormat="1" ht="14.25" customHeight="1">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2:48" s="93" customFormat="1" ht="14.25" customHeight="1">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2:48" s="93" customFormat="1" ht="14.25" customHeight="1">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2:48" s="93" customFormat="1" ht="14.25" customHeight="1">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2:48" s="93" customFormat="1" ht="14.25" customHeight="1">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2:48" s="93" customFormat="1" ht="14.25" customHeight="1">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2:48" s="93" customFormat="1" ht="14.25" customHeight="1">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2:48" s="93" customFormat="1" ht="14.25" customHeight="1">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12:48" s="93" customFormat="1" ht="14.25" customHeight="1">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2:48" s="93" customFormat="1" ht="14.25" customHeight="1">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12:48" s="93" customFormat="1" ht="14.25" customHeight="1">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2:48" s="93" customFormat="1" ht="14.25" customHeight="1">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12:48" s="93" customFormat="1" ht="14.25" customHeight="1">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2:48" s="93" customFormat="1" ht="14.25" customHeight="1">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12:48" s="93" customFormat="1" ht="14.25" customHeight="1">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2:48" s="93" customFormat="1" ht="14.25" customHeight="1">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12:48" s="93" customFormat="1" ht="14.25" customHeight="1">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2:48" s="93" customFormat="1" ht="14.25" customHeight="1">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2:48" s="93" customFormat="1" ht="14.25" customHeight="1">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2:48" s="93" customFormat="1" ht="14.25" customHeight="1">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2:48" s="93" customFormat="1" ht="14.25" customHeight="1">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2:48" s="93" customFormat="1" ht="14.25" customHeight="1">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2:48" s="93" customFormat="1" ht="14.25" customHeight="1">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2:48" s="93" customFormat="1" ht="14.25" customHeight="1">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2:48" s="93" customFormat="1" ht="14.25" customHeight="1">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2:48" s="93" customFormat="1" ht="14.25" customHeight="1">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2:48" s="93" customFormat="1" ht="14.25" customHeight="1">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2:48" s="93" customFormat="1" ht="14.25" customHeight="1">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2:48" s="93" customFormat="1" ht="14.25" customHeight="1">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2:48" s="93" customFormat="1" ht="14.25" customHeight="1">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2:48" s="93" customFormat="1" ht="14.25" customHeight="1">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2:48" s="93" customFormat="1" ht="14.2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2:48" s="93" customFormat="1" ht="14.25" customHeight="1">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2:48" s="93" customFormat="1" ht="14.2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1:48" s="93" customFormat="1" ht="14.2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1:48" s="93" customFormat="1" ht="14.25" customHeight="1">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1:48" s="93" customFormat="1" ht="14.25" customHeight="1">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1:48" s="93" customFormat="1" ht="14.25" customHeight="1">
      <c r="A84" s="9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1:48" s="93" customFormat="1" ht="14.25" customHeight="1">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1:48" s="93" customFormat="1" ht="14.25" customHeight="1">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1:48" s="93" customFormat="1" ht="14.25" customHeight="1">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1:48" s="93" customFormat="1" ht="14.25" customHeight="1">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1:48" s="93" customFormat="1" ht="14.25" customHeight="1">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1:48" s="93" customFormat="1" ht="14.25" customHeight="1">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1:48" s="93" customFormat="1" ht="14.25" customHeight="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1:48" s="93" customFormat="1" ht="14.2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1:48" s="93" customFormat="1" ht="14.2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1:48" s="93" customFormat="1" ht="14.2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1:48" s="93" customFormat="1" ht="14.2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1:48" s="93" customFormat="1" ht="14.2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4.2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pans="1:48" s="93" customFormat="1" ht="14.25" customHeight="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row>
    <row r="100" spans="1:48" s="88" customFormat="1" ht="26.25" customHeight="1">
      <c r="A100" s="498" t="s">
        <v>233</v>
      </c>
      <c r="B100" s="498"/>
      <c r="C100" s="499"/>
      <c r="D100" s="87"/>
      <c r="E100" s="500" t="str">
        <f>HYPERLINK("#目录!A130","跳转回到目录页")</f>
        <v>跳转回到目录页</v>
      </c>
      <c r="F100" s="501"/>
    </row>
    <row r="101" spans="1:48" s="88" customFormat="1" ht="26.25" customHeight="1">
      <c r="A101" s="502" t="s">
        <v>1216</v>
      </c>
      <c r="B101" s="502"/>
      <c r="C101" s="503" t="s">
        <v>234</v>
      </c>
      <c r="D101" s="503"/>
      <c r="E101" s="503"/>
      <c r="F101" s="503"/>
      <c r="G101" s="503"/>
      <c r="H101" s="503"/>
      <c r="I101" s="503"/>
      <c r="J101" s="503"/>
      <c r="K101" s="503"/>
      <c r="L101" s="503"/>
      <c r="M101" s="503"/>
    </row>
    <row r="102" spans="1:48" s="88" customFormat="1" ht="16.5" customHeight="1">
      <c r="A102" s="496" t="s">
        <v>1217</v>
      </c>
      <c r="B102" s="496"/>
      <c r="C102" s="493" t="s">
        <v>2574</v>
      </c>
      <c r="D102" s="493"/>
      <c r="E102" s="493"/>
      <c r="F102" s="493"/>
      <c r="G102" s="493"/>
      <c r="H102" s="493"/>
      <c r="I102" s="493"/>
      <c r="J102" s="493"/>
      <c r="K102" s="493"/>
      <c r="L102" s="493"/>
      <c r="M102" s="493"/>
    </row>
    <row r="103" spans="1:48" s="88" customFormat="1" ht="16.5" customHeight="1">
      <c r="A103" s="496" t="s">
        <v>5786</v>
      </c>
      <c r="B103" s="496"/>
      <c r="C103" s="497" t="s">
        <v>234</v>
      </c>
      <c r="D103" s="497"/>
      <c r="E103" s="497"/>
      <c r="F103" s="497"/>
      <c r="G103" s="497"/>
      <c r="H103" s="497"/>
      <c r="I103" s="497"/>
      <c r="J103" s="497"/>
      <c r="K103" s="497"/>
      <c r="L103" s="497"/>
      <c r="M103" s="497"/>
    </row>
    <row r="104" spans="1:48" s="88" customFormat="1" ht="16.5" customHeight="1">
      <c r="A104" s="496" t="s">
        <v>1220</v>
      </c>
      <c r="B104" s="496"/>
      <c r="C104" s="493" t="s">
        <v>2575</v>
      </c>
      <c r="D104" s="493"/>
      <c r="E104" s="493"/>
      <c r="F104" s="493"/>
      <c r="G104" s="493"/>
      <c r="H104" s="493"/>
      <c r="I104" s="493"/>
      <c r="J104" s="493"/>
      <c r="K104" s="493"/>
      <c r="L104" s="493"/>
      <c r="M104" s="493"/>
    </row>
    <row r="105" spans="1:48" s="88" customFormat="1" ht="16.5" customHeight="1">
      <c r="A105" s="496" t="s">
        <v>5785</v>
      </c>
      <c r="B105" s="496"/>
      <c r="C105" s="493" t="s">
        <v>2576</v>
      </c>
      <c r="D105" s="493"/>
      <c r="E105" s="493"/>
      <c r="F105" s="493"/>
      <c r="G105" s="493"/>
      <c r="H105" s="493"/>
      <c r="I105" s="493"/>
      <c r="J105" s="493"/>
      <c r="K105" s="493"/>
      <c r="L105" s="493"/>
      <c r="M105" s="493"/>
    </row>
    <row r="106" spans="1:48" s="88" customFormat="1" ht="16.5" customHeight="1">
      <c r="A106" s="89" t="s">
        <v>1223</v>
      </c>
      <c r="B106" s="92" t="s">
        <v>2577</v>
      </c>
      <c r="C106" s="493" t="s">
        <v>2578</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c r="C109" s="493"/>
      <c r="D109" s="493"/>
      <c r="E109" s="493"/>
      <c r="F109" s="493"/>
      <c r="G109" s="493"/>
      <c r="H109" s="493"/>
      <c r="I109" s="493"/>
      <c r="J109" s="493"/>
      <c r="K109" s="493"/>
      <c r="L109" s="493"/>
      <c r="M109" s="493"/>
    </row>
    <row r="110" spans="1:48" ht="72" customHeight="1">
      <c r="A110" s="89" t="s">
        <v>1229</v>
      </c>
      <c r="B110" s="493" t="s">
        <v>2579</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11" s="93" customFormat="1" ht="16.5" customHeight="1">
      <c r="A113" s="94" t="s">
        <v>1232</v>
      </c>
      <c r="B113" s="93" t="s">
        <v>1773</v>
      </c>
    </row>
    <row r="114" spans="1:11" ht="16.5" customHeight="1">
      <c r="A114" s="93"/>
      <c r="B114" s="93"/>
      <c r="C114" s="93"/>
      <c r="D114" s="93"/>
      <c r="E114" s="93"/>
      <c r="F114" s="93"/>
      <c r="G114" s="93"/>
      <c r="H114" s="93"/>
      <c r="I114" s="93"/>
      <c r="J114" s="93"/>
    </row>
    <row r="115" spans="1:11" ht="16.5" customHeight="1">
      <c r="A115" s="93"/>
      <c r="B115" s="93"/>
      <c r="C115" s="93"/>
      <c r="D115" s="93"/>
      <c r="E115" s="93"/>
      <c r="F115" s="93"/>
      <c r="G115" s="93"/>
      <c r="H115" s="93"/>
      <c r="I115" s="93"/>
      <c r="J115" s="93"/>
    </row>
    <row r="116" spans="1:11" ht="16.5" customHeight="1">
      <c r="A116" s="93"/>
      <c r="B116" s="93"/>
      <c r="C116" s="94" t="s">
        <v>2571</v>
      </c>
      <c r="D116" s="93"/>
      <c r="E116" s="93"/>
      <c r="F116" s="93"/>
      <c r="G116" s="94" t="s">
        <v>2580</v>
      </c>
      <c r="H116" s="93"/>
      <c r="I116" s="104" t="s">
        <v>1238</v>
      </c>
      <c r="J116" s="93"/>
    </row>
    <row r="117" spans="1:11" ht="16.5" customHeight="1">
      <c r="A117" s="93"/>
      <c r="B117" s="187">
        <v>5</v>
      </c>
      <c r="C117" s="188">
        <v>1</v>
      </c>
      <c r="D117" s="138">
        <v>3</v>
      </c>
      <c r="E117" s="93"/>
      <c r="F117" s="187">
        <f t="array" ref="F117:H119">MINVERSE(B117:D119)</f>
        <v>-4.9999999999999822</v>
      </c>
      <c r="G117" s="188">
        <v>0.99999999999999678</v>
      </c>
      <c r="H117" s="138">
        <v>10.999999999999961</v>
      </c>
      <c r="I117" s="108" t="s">
        <v>2581</v>
      </c>
      <c r="J117" s="93"/>
    </row>
    <row r="118" spans="1:11" ht="16.5" customHeight="1">
      <c r="A118" s="93"/>
      <c r="B118" s="99">
        <v>4</v>
      </c>
      <c r="C118" s="110">
        <v>-6</v>
      </c>
      <c r="D118" s="101">
        <v>4</v>
      </c>
      <c r="E118" s="93"/>
      <c r="F118" s="99">
        <v>1.9999999999999931</v>
      </c>
      <c r="G118" s="110">
        <v>-0.49999999999999878</v>
      </c>
      <c r="H118" s="101">
        <v>-3.9999999999999849</v>
      </c>
      <c r="I118" s="93"/>
      <c r="J118" s="93"/>
    </row>
    <row r="119" spans="1:11" ht="16.5" customHeight="1">
      <c r="A119" s="93"/>
      <c r="B119" s="105">
        <v>2</v>
      </c>
      <c r="C119" s="113">
        <v>1</v>
      </c>
      <c r="D119" s="107">
        <v>1</v>
      </c>
      <c r="E119" s="93"/>
      <c r="F119" s="105">
        <v>7.9999999999999725</v>
      </c>
      <c r="G119" s="113">
        <v>-1.4999999999999949</v>
      </c>
      <c r="H119" s="107">
        <v>-16.99999999999994</v>
      </c>
      <c r="I119" s="93"/>
      <c r="J119" s="93"/>
    </row>
    <row r="120" spans="1:11" ht="16.5" customHeight="1">
      <c r="A120" s="93"/>
      <c r="B120" s="93"/>
      <c r="C120" s="93"/>
      <c r="D120" s="93"/>
      <c r="E120" s="93"/>
      <c r="F120" s="93"/>
      <c r="G120" s="93"/>
      <c r="H120" s="93"/>
      <c r="I120" s="93"/>
      <c r="J120" s="93"/>
      <c r="K120" s="93"/>
    </row>
    <row r="121" spans="1:11" ht="16.5" customHeight="1">
      <c r="A121" s="93"/>
      <c r="B121" s="93"/>
      <c r="C121" s="93"/>
      <c r="D121" s="93"/>
      <c r="E121" s="93"/>
      <c r="F121" s="93" t="s">
        <v>2582</v>
      </c>
      <c r="G121" s="93" t="s">
        <v>2583</v>
      </c>
      <c r="H121" s="93"/>
      <c r="I121" s="93"/>
      <c r="J121" s="93"/>
      <c r="K121" s="93"/>
    </row>
    <row r="122" spans="1:11" ht="16.5" customHeight="1">
      <c r="A122" s="93"/>
      <c r="B122" s="93"/>
      <c r="C122" s="93"/>
      <c r="D122" s="93"/>
      <c r="E122" s="93"/>
      <c r="F122" s="93"/>
      <c r="G122" s="93" t="s">
        <v>2584</v>
      </c>
      <c r="H122" s="93"/>
      <c r="I122" s="93"/>
      <c r="J122" s="93"/>
      <c r="K122" s="93"/>
    </row>
    <row r="123" spans="1:11" ht="16.5" customHeight="1">
      <c r="A123" s="93"/>
      <c r="B123" s="93"/>
      <c r="C123" s="93"/>
      <c r="D123" s="93"/>
      <c r="E123" s="93"/>
      <c r="F123" s="93"/>
      <c r="G123" s="93" t="s">
        <v>2585</v>
      </c>
      <c r="H123" s="93"/>
      <c r="I123" s="93"/>
      <c r="J123" s="93"/>
      <c r="K123" s="93"/>
    </row>
    <row r="124" spans="1:11" ht="16.5" customHeight="1">
      <c r="A124" s="93"/>
      <c r="B124" s="93"/>
      <c r="C124" s="93"/>
      <c r="D124" s="93"/>
      <c r="E124" s="93"/>
      <c r="F124" s="93"/>
      <c r="G124" s="93" t="s">
        <v>2586</v>
      </c>
      <c r="H124" s="93"/>
      <c r="I124" s="93"/>
      <c r="J124" s="93"/>
      <c r="K124" s="93"/>
    </row>
    <row r="125" spans="1:11" ht="16.5" customHeight="1">
      <c r="A125" s="93"/>
      <c r="B125" s="93"/>
      <c r="C125" s="93"/>
      <c r="D125" s="93"/>
      <c r="E125" s="93"/>
      <c r="F125" s="93"/>
      <c r="G125" s="93"/>
      <c r="H125" s="93"/>
      <c r="I125" s="93"/>
      <c r="J125" s="93"/>
      <c r="K125" s="93"/>
    </row>
    <row r="180" spans="7:7">
      <c r="G180" s="189"/>
    </row>
    <row r="181" spans="7:7">
      <c r="G181" s="189"/>
    </row>
    <row r="182" spans="7:7">
      <c r="G182" s="189"/>
    </row>
    <row r="200" spans="1:13" s="88" customFormat="1" ht="26.25" customHeight="1">
      <c r="A200" s="498" t="s">
        <v>235</v>
      </c>
      <c r="B200" s="498"/>
      <c r="C200" s="499"/>
      <c r="D200" s="87"/>
      <c r="E200" s="500" t="str">
        <f>HYPERLINK("#目录!A131","跳转回到目录页")</f>
        <v>跳转回到目录页</v>
      </c>
      <c r="F200" s="501"/>
    </row>
    <row r="201" spans="1:13" s="88" customFormat="1" ht="26.25" customHeight="1">
      <c r="A201" s="502" t="s">
        <v>1216</v>
      </c>
      <c r="B201" s="502"/>
      <c r="C201" s="503" t="s">
        <v>236</v>
      </c>
      <c r="D201" s="503"/>
      <c r="E201" s="503"/>
      <c r="F201" s="503"/>
      <c r="G201" s="503"/>
      <c r="H201" s="503"/>
      <c r="I201" s="503"/>
      <c r="J201" s="503"/>
      <c r="K201" s="503"/>
      <c r="L201" s="503"/>
      <c r="M201" s="503"/>
    </row>
    <row r="202" spans="1:13" s="88" customFormat="1" ht="16.5" customHeight="1">
      <c r="A202" s="496" t="s">
        <v>1217</v>
      </c>
      <c r="B202" s="496"/>
      <c r="C202" s="493" t="s">
        <v>2587</v>
      </c>
      <c r="D202" s="493"/>
      <c r="E202" s="493"/>
      <c r="F202" s="493"/>
      <c r="G202" s="493"/>
      <c r="H202" s="493"/>
      <c r="I202" s="493"/>
      <c r="J202" s="493"/>
      <c r="K202" s="493"/>
      <c r="L202" s="493"/>
      <c r="M202" s="493"/>
    </row>
    <row r="203" spans="1:13" s="88" customFormat="1" ht="16.5" customHeight="1">
      <c r="A203" s="496" t="s">
        <v>5786</v>
      </c>
      <c r="B203" s="496"/>
      <c r="C203" s="497" t="s">
        <v>236</v>
      </c>
      <c r="D203" s="497"/>
      <c r="E203" s="497"/>
      <c r="F203" s="497"/>
      <c r="G203" s="497"/>
      <c r="H203" s="497"/>
      <c r="I203" s="497"/>
      <c r="J203" s="497"/>
      <c r="K203" s="497"/>
      <c r="L203" s="497"/>
      <c r="M203" s="497"/>
    </row>
    <row r="204" spans="1:13" s="88" customFormat="1" ht="16.5" customHeight="1">
      <c r="A204" s="496" t="s">
        <v>1220</v>
      </c>
      <c r="B204" s="496"/>
      <c r="C204" s="493" t="s">
        <v>2588</v>
      </c>
      <c r="D204" s="493"/>
      <c r="E204" s="493"/>
      <c r="F204" s="493"/>
      <c r="G204" s="493"/>
      <c r="H204" s="493"/>
      <c r="I204" s="493"/>
      <c r="J204" s="493"/>
      <c r="K204" s="493"/>
      <c r="L204" s="493"/>
      <c r="M204" s="493"/>
    </row>
    <row r="205" spans="1:13" s="88" customFormat="1" ht="16.5" customHeight="1">
      <c r="A205" s="496" t="s">
        <v>5785</v>
      </c>
      <c r="B205" s="496"/>
      <c r="C205" s="493" t="s">
        <v>2589</v>
      </c>
      <c r="D205" s="493"/>
      <c r="E205" s="493"/>
      <c r="F205" s="493"/>
      <c r="G205" s="493"/>
      <c r="H205" s="493"/>
      <c r="I205" s="493"/>
      <c r="J205" s="493"/>
      <c r="K205" s="493"/>
      <c r="L205" s="493"/>
      <c r="M205" s="493"/>
    </row>
    <row r="206" spans="1:13" s="88" customFormat="1" ht="16.5" customHeight="1">
      <c r="A206" s="89" t="s">
        <v>1223</v>
      </c>
      <c r="B206" s="92" t="s">
        <v>2590</v>
      </c>
      <c r="C206" s="509" t="s">
        <v>2591</v>
      </c>
      <c r="D206" s="509"/>
      <c r="E206" s="509"/>
      <c r="F206" s="509"/>
      <c r="G206" s="509"/>
      <c r="H206" s="509"/>
      <c r="I206" s="509"/>
      <c r="J206" s="509"/>
      <c r="K206" s="509"/>
      <c r="L206" s="509"/>
      <c r="M206" s="509"/>
    </row>
    <row r="207" spans="1:13" s="88" customFormat="1" ht="16.5" customHeight="1">
      <c r="A207" s="89"/>
      <c r="B207" s="92" t="s">
        <v>1998</v>
      </c>
      <c r="C207" s="509"/>
      <c r="D207" s="509"/>
      <c r="E207" s="509"/>
      <c r="F207" s="509"/>
      <c r="G207" s="509"/>
      <c r="H207" s="509"/>
      <c r="I207" s="509"/>
      <c r="J207" s="509"/>
      <c r="K207" s="509"/>
      <c r="L207" s="509"/>
      <c r="M207" s="509"/>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51" customHeight="1">
      <c r="A210" s="89" t="s">
        <v>1229</v>
      </c>
      <c r="B210" s="493" t="s">
        <v>2592</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A214" s="93"/>
      <c r="B214" s="93"/>
      <c r="C214" s="93"/>
      <c r="D214" s="93"/>
      <c r="E214" s="93"/>
      <c r="F214" s="93"/>
      <c r="G214" s="93"/>
      <c r="H214" s="93"/>
      <c r="I214" s="93"/>
    </row>
    <row r="215" spans="1:13" ht="16.5" customHeight="1">
      <c r="A215" s="93"/>
      <c r="B215" s="518" t="s">
        <v>2593</v>
      </c>
      <c r="C215" s="518"/>
      <c r="D215" s="518"/>
      <c r="E215" s="93"/>
      <c r="F215" s="518" t="s">
        <v>2594</v>
      </c>
      <c r="G215" s="518"/>
      <c r="H215" s="104" t="s">
        <v>1238</v>
      </c>
      <c r="I215" s="93"/>
    </row>
    <row r="216" spans="1:13" ht="16.5" customHeight="1">
      <c r="A216" s="93"/>
      <c r="B216" s="187">
        <v>5</v>
      </c>
      <c r="C216" s="188">
        <v>1</v>
      </c>
      <c r="D216" s="138">
        <v>3</v>
      </c>
      <c r="E216" s="93"/>
      <c r="F216" s="187">
        <f t="array" ref="F216:G218">MMULT(B216:D218,B222:C224)</f>
        <v>-0.5</v>
      </c>
      <c r="G216" s="138">
        <v>4.5</v>
      </c>
      <c r="H216" s="108" t="s">
        <v>2595</v>
      </c>
      <c r="I216" s="93"/>
    </row>
    <row r="217" spans="1:13" ht="16.5" customHeight="1">
      <c r="A217" s="93"/>
      <c r="B217" s="99">
        <v>4</v>
      </c>
      <c r="C217" s="110">
        <v>-6</v>
      </c>
      <c r="D217" s="101">
        <v>4</v>
      </c>
      <c r="E217" s="93"/>
      <c r="F217" s="99">
        <v>-32</v>
      </c>
      <c r="G217" s="101">
        <v>-17</v>
      </c>
      <c r="H217" s="93"/>
      <c r="I217" s="93"/>
    </row>
    <row r="218" spans="1:13" ht="16.5" customHeight="1">
      <c r="A218" s="93"/>
      <c r="B218" s="105">
        <v>2</v>
      </c>
      <c r="C218" s="113">
        <v>1</v>
      </c>
      <c r="D218" s="107">
        <v>1</v>
      </c>
      <c r="E218" s="93"/>
      <c r="F218" s="105">
        <v>2.5</v>
      </c>
      <c r="G218" s="107">
        <v>3.5</v>
      </c>
      <c r="H218" s="93"/>
      <c r="I218" s="93"/>
    </row>
    <row r="219" spans="1:13" ht="16.5" customHeight="1">
      <c r="A219" s="93"/>
      <c r="B219" s="93"/>
      <c r="C219" s="93"/>
      <c r="D219" s="93"/>
      <c r="E219" s="93"/>
      <c r="F219" s="93"/>
      <c r="G219" s="93"/>
      <c r="H219" s="93"/>
      <c r="I219" s="93"/>
    </row>
    <row r="220" spans="1:13" ht="16.5" customHeight="1">
      <c r="A220" s="93"/>
      <c r="B220" s="93"/>
      <c r="C220" s="93"/>
      <c r="D220" s="93"/>
      <c r="E220" s="93"/>
      <c r="F220" s="93"/>
      <c r="G220" s="93"/>
      <c r="H220" s="93"/>
      <c r="I220" s="93"/>
    </row>
    <row r="221" spans="1:13" ht="16.5" customHeight="1">
      <c r="A221" s="93"/>
      <c r="B221" s="624" t="s">
        <v>2596</v>
      </c>
      <c r="C221" s="625"/>
      <c r="D221" s="93"/>
      <c r="E221" s="93"/>
      <c r="F221" s="93"/>
      <c r="G221" s="93"/>
      <c r="H221" s="93"/>
      <c r="I221" s="93"/>
    </row>
    <row r="222" spans="1:13" ht="16.5" customHeight="1">
      <c r="A222" s="93"/>
      <c r="B222" s="187">
        <v>-2</v>
      </c>
      <c r="C222" s="138">
        <v>-1</v>
      </c>
      <c r="D222" s="93"/>
      <c r="E222" s="93"/>
      <c r="F222" s="93"/>
      <c r="G222" s="93"/>
      <c r="H222" s="93"/>
      <c r="I222" s="93"/>
    </row>
    <row r="223" spans="1:13" ht="16.5" customHeight="1">
      <c r="A223" s="93"/>
      <c r="B223" s="99">
        <v>5</v>
      </c>
      <c r="C223" s="101">
        <v>3.5</v>
      </c>
      <c r="D223" s="93"/>
      <c r="E223" s="93"/>
      <c r="F223" s="93"/>
      <c r="G223" s="93"/>
      <c r="H223" s="93"/>
      <c r="I223" s="93"/>
    </row>
    <row r="224" spans="1:13" ht="16.5" customHeight="1">
      <c r="A224" s="93"/>
      <c r="B224" s="105">
        <v>1.5</v>
      </c>
      <c r="C224" s="107">
        <v>2</v>
      </c>
      <c r="D224" s="93"/>
      <c r="E224" s="93"/>
      <c r="F224" s="93"/>
      <c r="G224" s="93"/>
      <c r="H224" s="93"/>
      <c r="I224" s="93"/>
    </row>
  </sheetData>
  <mergeCells count="5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A203:B203"/>
    <mergeCell ref="C203:M203"/>
    <mergeCell ref="A204:B204"/>
    <mergeCell ref="C204:M204"/>
    <mergeCell ref="A205:B205"/>
    <mergeCell ref="C205:M205"/>
    <mergeCell ref="B221:C221"/>
    <mergeCell ref="C206:M207"/>
    <mergeCell ref="C208:M208"/>
    <mergeCell ref="B209:M209"/>
    <mergeCell ref="B210:M210"/>
    <mergeCell ref="B211:L211"/>
    <mergeCell ref="B215:D215"/>
    <mergeCell ref="F215:G215"/>
  </mergeCells>
  <phoneticPr fontId="2" type="noConversion"/>
  <pageMargins left="0.75" right="0.75" top="1" bottom="1" header="0.5" footer="0.5"/>
  <headerFooter scaleWithDoc="0"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AV122"/>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239</v>
      </c>
      <c r="B1" s="498"/>
      <c r="C1" s="499"/>
      <c r="D1" s="87"/>
      <c r="E1" s="500" t="str">
        <f>HYPERLINK("#目录!A133","跳转回到目录页")</f>
        <v>跳转回到目录页</v>
      </c>
      <c r="F1" s="501"/>
    </row>
    <row r="2" spans="1:48" s="88" customFormat="1" ht="26.25" customHeight="1">
      <c r="A2" s="502" t="s">
        <v>1216</v>
      </c>
      <c r="B2" s="502"/>
      <c r="C2" s="503" t="s">
        <v>240</v>
      </c>
      <c r="D2" s="503"/>
      <c r="E2" s="503"/>
      <c r="F2" s="503"/>
      <c r="G2" s="503"/>
      <c r="H2" s="503"/>
      <c r="I2" s="503"/>
      <c r="J2" s="503"/>
      <c r="K2" s="503"/>
      <c r="L2" s="503"/>
      <c r="M2" s="503"/>
    </row>
    <row r="3" spans="1:48" s="88" customFormat="1" ht="16.5" customHeight="1">
      <c r="A3" s="496" t="s">
        <v>1217</v>
      </c>
      <c r="B3" s="496"/>
      <c r="C3" s="493" t="s">
        <v>2597</v>
      </c>
      <c r="D3" s="493"/>
      <c r="E3" s="493"/>
      <c r="F3" s="493"/>
      <c r="G3" s="493"/>
      <c r="H3" s="493"/>
      <c r="I3" s="493"/>
      <c r="J3" s="493"/>
      <c r="K3" s="493"/>
      <c r="L3" s="493"/>
      <c r="M3" s="493"/>
    </row>
    <row r="4" spans="1:48" s="88" customFormat="1" ht="16.5" customHeight="1">
      <c r="A4" s="496" t="s">
        <v>5786</v>
      </c>
      <c r="B4" s="496"/>
      <c r="C4" s="497" t="s">
        <v>5937</v>
      </c>
      <c r="D4" s="497"/>
      <c r="E4" s="497"/>
      <c r="F4" s="497"/>
      <c r="G4" s="497"/>
      <c r="H4" s="497"/>
      <c r="I4" s="497"/>
      <c r="J4" s="497"/>
      <c r="K4" s="497"/>
      <c r="L4" s="497"/>
      <c r="M4" s="497"/>
    </row>
    <row r="5" spans="1:48" s="88" customFormat="1" ht="16.5" customHeight="1">
      <c r="A5" s="496" t="s">
        <v>1220</v>
      </c>
      <c r="B5" s="496"/>
      <c r="C5" s="493" t="s">
        <v>2598</v>
      </c>
      <c r="D5" s="493"/>
      <c r="E5" s="493"/>
      <c r="F5" s="493"/>
      <c r="G5" s="493"/>
      <c r="H5" s="493"/>
      <c r="I5" s="493"/>
      <c r="J5" s="493"/>
      <c r="K5" s="493"/>
      <c r="L5" s="493"/>
      <c r="M5" s="493"/>
    </row>
    <row r="6" spans="1:48" s="88" customFormat="1" ht="16.5" customHeight="1">
      <c r="A6" s="496" t="s">
        <v>5785</v>
      </c>
      <c r="B6" s="496"/>
      <c r="C6" s="493" t="s">
        <v>2598</v>
      </c>
      <c r="D6" s="493"/>
      <c r="E6" s="493"/>
      <c r="F6" s="493"/>
      <c r="G6" s="493"/>
      <c r="H6" s="493"/>
      <c r="I6" s="493"/>
      <c r="J6" s="493"/>
      <c r="K6" s="493"/>
      <c r="L6" s="493"/>
      <c r="M6" s="493"/>
    </row>
    <row r="7" spans="1:48" s="88" customFormat="1" ht="16.5" customHeight="1">
      <c r="A7" s="89" t="s">
        <v>1223</v>
      </c>
      <c r="B7" s="92"/>
      <c r="C7" s="493" t="s">
        <v>2599</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37.5" customHeight="1">
      <c r="A11" s="89" t="s">
        <v>1229</v>
      </c>
      <c r="B11" s="493" t="s">
        <v>2600</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F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C16" s="104" t="s">
        <v>1238</v>
      </c>
      <c r="F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f ca="1">RAND()</f>
        <v>0.40641068412779136</v>
      </c>
      <c r="C17" s="108" t="s">
        <v>2601</v>
      </c>
      <c r="F17" s="18"/>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F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F19" s="18"/>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A20" s="94" t="s">
        <v>1244</v>
      </c>
      <c r="B20" s="93" t="s">
        <v>2602</v>
      </c>
      <c r="F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F21" s="18"/>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87" t="s">
        <v>2603</v>
      </c>
      <c r="C22" s="188">
        <v>0</v>
      </c>
      <c r="D22" s="188">
        <v>1</v>
      </c>
      <c r="E22" s="188">
        <v>10</v>
      </c>
      <c r="F22" s="289">
        <v>-2</v>
      </c>
      <c r="G22" s="138">
        <v>-10</v>
      </c>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9" t="s">
        <v>2604</v>
      </c>
      <c r="C23" s="110">
        <v>1</v>
      </c>
      <c r="D23" s="110">
        <v>2</v>
      </c>
      <c r="E23" s="110">
        <v>20</v>
      </c>
      <c r="F23" s="290">
        <v>-1</v>
      </c>
      <c r="G23" s="101">
        <v>10</v>
      </c>
      <c r="H23" s="104" t="s">
        <v>1238</v>
      </c>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8.75" customHeight="1">
      <c r="B24" s="594" t="s">
        <v>2605</v>
      </c>
      <c r="C24" s="110">
        <f ca="1">RAND()*(C23-C22)+C22</f>
        <v>0.95442811882144485</v>
      </c>
      <c r="D24" s="110">
        <f ca="1">RAND()*(D23-D22)+D22</f>
        <v>1.2405054939232534</v>
      </c>
      <c r="E24" s="110">
        <f ca="1">RAND()*(E23-E22)+E22</f>
        <v>19.621153753567903</v>
      </c>
      <c r="F24" s="110">
        <f ca="1">RAND()*(F23-F22)+F22</f>
        <v>-1.6752710226272571</v>
      </c>
      <c r="G24" s="101">
        <f ca="1">RAND()*(G23-G22)+G22</f>
        <v>-7.6352406087608404</v>
      </c>
      <c r="H24" s="108" t="s">
        <v>2606</v>
      </c>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8.75" customHeight="1">
      <c r="B25" s="626"/>
      <c r="C25" s="113"/>
      <c r="D25" s="113"/>
      <c r="E25" s="113"/>
      <c r="F25" s="291"/>
      <c r="G25" s="107"/>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C26" s="549" t="s">
        <v>2607</v>
      </c>
      <c r="D26" s="549"/>
      <c r="E26" s="549"/>
      <c r="F26" s="549"/>
      <c r="G26" s="549"/>
      <c r="H26" s="549"/>
      <c r="I26" s="549"/>
      <c r="J26" s="549"/>
      <c r="K26" s="549"/>
      <c r="L26" s="549"/>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F27" s="189"/>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F28" s="189"/>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4.25" customHeight="1">
      <c r="F29" s="189"/>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4.25" customHeight="1">
      <c r="F30" s="189"/>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4.25" customHeight="1">
      <c r="F31" s="189"/>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4.25" customHeight="1">
      <c r="F32" s="189"/>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6:48" s="93" customFormat="1" ht="14.25" customHeight="1">
      <c r="F33" s="189"/>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6:48" s="93" customFormat="1" ht="14.25" customHeight="1">
      <c r="F34" s="189"/>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6:48" s="93" customFormat="1" ht="14.25" customHeight="1">
      <c r="F35" s="189"/>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6:48" s="93" customFormat="1" ht="14.25" customHeight="1">
      <c r="F36" s="189"/>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6:48" s="93" customFormat="1" ht="14.25" customHeight="1">
      <c r="F37" s="189"/>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6:48" s="93" customFormat="1" ht="14.25" customHeight="1">
      <c r="F38" s="189"/>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6:48" s="93" customFormat="1" ht="14.25" customHeight="1">
      <c r="F39" s="189"/>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6:48" s="93" customFormat="1" ht="14.25" customHeight="1">
      <c r="F40" s="189"/>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6:48" s="93" customFormat="1" ht="14.25" customHeight="1">
      <c r="F41" s="189"/>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6:48" s="93" customFormat="1" ht="14.25" customHeight="1">
      <c r="F42" s="189"/>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6:48" s="93" customFormat="1" ht="14.25" customHeight="1">
      <c r="F43" s="189"/>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6:48" s="93" customFormat="1" ht="14.25" customHeight="1">
      <c r="F44" s="189"/>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6:48" s="93" customFormat="1" ht="14.25" customHeight="1">
      <c r="F45" s="189"/>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6:48" s="93" customFormat="1" ht="14.25" customHeight="1">
      <c r="F46" s="189"/>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6:48" s="93" customFormat="1" ht="14.25" customHeight="1">
      <c r="F47" s="189"/>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6:48" s="93" customFormat="1" ht="14.25" customHeight="1">
      <c r="F48" s="189"/>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6:48" s="93" customFormat="1" ht="14.25" customHeight="1">
      <c r="F49" s="189"/>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6:48" s="93" customFormat="1" ht="14.25" customHeight="1">
      <c r="F50" s="189"/>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6:48" s="93" customFormat="1" ht="14.25" customHeight="1">
      <c r="F51" s="189"/>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6:48" s="93" customFormat="1" ht="14.25" customHeight="1">
      <c r="F52" s="189"/>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6:48" s="93" customFormat="1" ht="14.25" customHeight="1">
      <c r="F53" s="189"/>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6:48" s="93" customFormat="1" ht="14.25" customHeight="1">
      <c r="F54" s="189"/>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6:48" s="93" customFormat="1" ht="14.25" customHeight="1">
      <c r="F55" s="189"/>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6:48" s="93" customFormat="1" ht="14.25" customHeight="1">
      <c r="F56" s="189"/>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6:48" s="93" customFormat="1" ht="14.25" customHeight="1">
      <c r="F57" s="189"/>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6:48" s="93" customFormat="1" ht="14.25" customHeight="1">
      <c r="F58" s="189"/>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6:48" s="93" customFormat="1" ht="14.25" customHeight="1">
      <c r="F59" s="189"/>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6:48" s="93" customFormat="1" ht="14.25" customHeight="1">
      <c r="F60" s="189"/>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6:48" s="93" customFormat="1" ht="14.25" customHeight="1">
      <c r="F61" s="189"/>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6:48" s="93" customFormat="1" ht="14.25" customHeight="1">
      <c r="F62" s="189"/>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6:48" s="93" customFormat="1" ht="14.25" customHeight="1">
      <c r="F63" s="189"/>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6:48" s="93" customFormat="1" ht="14.25" customHeight="1">
      <c r="F64" s="189"/>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48" s="93" customFormat="1" ht="14.25" customHeight="1">
      <c r="F65" s="189"/>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48" s="93" customFormat="1" ht="14.25" customHeight="1">
      <c r="F66" s="189"/>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48" s="93" customFormat="1" ht="14.25" customHeight="1">
      <c r="F67" s="189"/>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48" s="93" customFormat="1" ht="14.25" customHeight="1">
      <c r="F68" s="189"/>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48" s="93" customFormat="1" ht="14.25" customHeight="1">
      <c r="F69" s="189"/>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48" s="93" customFormat="1" ht="14.25" customHeight="1">
      <c r="F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48" s="93" customFormat="1" ht="14.25" customHeight="1">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48" s="93" customFormat="1" ht="14.25" customHeight="1">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48" s="93" customFormat="1" ht="14.25" customHeight="1">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48" s="93" customFormat="1" ht="14.25" customHeight="1">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48" s="93" customFormat="1" ht="14.25" customHeight="1">
      <c r="A75" s="9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48" s="93" customFormat="1" ht="14.25" customHeight="1">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48" s="93" customFormat="1" ht="14.25" customHeight="1">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48" s="93" customFormat="1" ht="14.2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48" s="93" customFormat="1" ht="14.25" customHeight="1">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48" s="93" customFormat="1" ht="14.2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2:48" s="93" customFormat="1" ht="14.2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2:48" s="93" customFormat="1" ht="14.25" customHeight="1">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2:48" s="93" customFormat="1" ht="14.25" customHeight="1">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2:48" s="93" customFormat="1" ht="14.25" customHeight="1">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2:48" s="93" customFormat="1" ht="14.25" customHeight="1">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2:48" s="93" customFormat="1" ht="14.2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2:48" s="93" customFormat="1" ht="14.25" customHeigh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2:48" s="93" customFormat="1" ht="14.25" customHeight="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2:48" s="93" customFormat="1" ht="14.25" customHeight="1">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2:48" s="93" customFormat="1" ht="14.25" customHeight="1">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2:48" s="93" customFormat="1" ht="14.25" customHeight="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4.2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4.2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4.2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4.2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s="93" customFormat="1" ht="14.2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4.2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pans="1:48" s="93" customFormat="1" ht="14.25" customHeight="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row>
    <row r="100" spans="1:48" s="88" customFormat="1" ht="26.25" customHeight="1">
      <c r="A100" s="498" t="s">
        <v>241</v>
      </c>
      <c r="B100" s="498"/>
      <c r="C100" s="499"/>
      <c r="D100" s="87"/>
      <c r="E100" s="500" t="str">
        <f>HYPERLINK("#目录!A134","跳转回到目录页")</f>
        <v>跳转回到目录页</v>
      </c>
      <c r="F100" s="501"/>
    </row>
    <row r="101" spans="1:48" s="88" customFormat="1" ht="26.25" customHeight="1">
      <c r="A101" s="502" t="s">
        <v>1216</v>
      </c>
      <c r="B101" s="502"/>
      <c r="C101" s="503" t="s">
        <v>242</v>
      </c>
      <c r="D101" s="503"/>
      <c r="E101" s="503"/>
      <c r="F101" s="503"/>
      <c r="G101" s="503"/>
      <c r="H101" s="503"/>
      <c r="I101" s="503"/>
      <c r="J101" s="503"/>
      <c r="K101" s="503"/>
      <c r="L101" s="503"/>
      <c r="M101" s="503"/>
    </row>
    <row r="102" spans="1:48" s="88" customFormat="1" ht="16.5" customHeight="1">
      <c r="A102" s="496" t="s">
        <v>1217</v>
      </c>
      <c r="B102" s="496"/>
      <c r="C102" s="493" t="s">
        <v>2608</v>
      </c>
      <c r="D102" s="493"/>
      <c r="E102" s="493"/>
      <c r="F102" s="493"/>
      <c r="G102" s="493"/>
      <c r="H102" s="493"/>
      <c r="I102" s="493"/>
      <c r="J102" s="493"/>
      <c r="K102" s="493"/>
      <c r="L102" s="493"/>
      <c r="M102" s="493"/>
    </row>
    <row r="103" spans="1:48" s="88" customFormat="1" ht="16.5" customHeight="1">
      <c r="A103" s="496" t="s">
        <v>5786</v>
      </c>
      <c r="B103" s="496"/>
      <c r="C103" s="497" t="s">
        <v>2609</v>
      </c>
      <c r="D103" s="497"/>
      <c r="E103" s="497"/>
      <c r="F103" s="497"/>
      <c r="G103" s="497"/>
      <c r="H103" s="497"/>
      <c r="I103" s="497"/>
      <c r="J103" s="497"/>
      <c r="K103" s="497"/>
      <c r="L103" s="497"/>
      <c r="M103" s="497"/>
    </row>
    <row r="104" spans="1:48" s="88" customFormat="1" ht="16.5" customHeight="1">
      <c r="A104" s="496" t="s">
        <v>1220</v>
      </c>
      <c r="B104" s="496"/>
      <c r="C104" s="493" t="s">
        <v>2610</v>
      </c>
      <c r="D104" s="493"/>
      <c r="E104" s="493"/>
      <c r="F104" s="493"/>
      <c r="G104" s="493"/>
      <c r="H104" s="493"/>
      <c r="I104" s="493"/>
      <c r="J104" s="493"/>
      <c r="K104" s="493"/>
      <c r="L104" s="493"/>
      <c r="M104" s="493"/>
    </row>
    <row r="105" spans="1:48" s="88" customFormat="1" ht="16.5" customHeight="1">
      <c r="A105" s="496" t="s">
        <v>5785</v>
      </c>
      <c r="B105" s="496"/>
      <c r="C105" s="493" t="s">
        <v>2611</v>
      </c>
      <c r="D105" s="493"/>
      <c r="E105" s="493"/>
      <c r="F105" s="493"/>
      <c r="G105" s="493"/>
      <c r="H105" s="493"/>
      <c r="I105" s="493"/>
      <c r="J105" s="493"/>
      <c r="K105" s="493"/>
      <c r="L105" s="493"/>
      <c r="M105" s="493"/>
    </row>
    <row r="106" spans="1:48" s="88" customFormat="1" ht="16.5" customHeight="1">
      <c r="A106" s="89" t="s">
        <v>1223</v>
      </c>
      <c r="B106" s="92" t="s">
        <v>2612</v>
      </c>
      <c r="C106" s="493" t="s">
        <v>2613</v>
      </c>
      <c r="D106" s="493"/>
      <c r="E106" s="493"/>
      <c r="F106" s="493"/>
      <c r="G106" s="493"/>
      <c r="H106" s="493"/>
      <c r="I106" s="493"/>
      <c r="J106" s="493"/>
      <c r="K106" s="493"/>
      <c r="L106" s="493"/>
      <c r="M106" s="493"/>
    </row>
    <row r="107" spans="1:48" s="88" customFormat="1" ht="16.5" customHeight="1">
      <c r="A107" s="89"/>
      <c r="B107" s="92" t="s">
        <v>2614</v>
      </c>
      <c r="C107" s="493" t="s">
        <v>2615</v>
      </c>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c r="C109" s="493"/>
      <c r="D109" s="493"/>
      <c r="E109" s="493"/>
      <c r="F109" s="493"/>
      <c r="G109" s="493"/>
      <c r="H109" s="493"/>
      <c r="I109" s="493"/>
      <c r="J109" s="493"/>
      <c r="K109" s="493"/>
      <c r="L109" s="493"/>
      <c r="M109" s="493"/>
    </row>
    <row r="110" spans="1:48" ht="16.5" customHeight="1">
      <c r="A110" s="89" t="s">
        <v>1229</v>
      </c>
      <c r="B110" s="493" t="s">
        <v>2230</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11" s="93" customFormat="1" ht="16.5" customHeight="1">
      <c r="A113" s="94" t="s">
        <v>1232</v>
      </c>
      <c r="B113" s="93" t="s">
        <v>1773</v>
      </c>
    </row>
    <row r="114" spans="1:11" ht="16.5" customHeight="1">
      <c r="B114" s="93"/>
      <c r="C114" s="93"/>
      <c r="D114" s="93"/>
      <c r="E114" s="93"/>
      <c r="F114" s="93"/>
      <c r="G114" s="93"/>
      <c r="H114" s="93"/>
      <c r="I114" s="93"/>
      <c r="J114" s="93"/>
      <c r="K114" s="93"/>
    </row>
    <row r="115" spans="1:11" ht="16.5" customHeight="1">
      <c r="B115" s="187" t="s">
        <v>2616</v>
      </c>
      <c r="C115" s="188">
        <v>0</v>
      </c>
      <c r="D115" s="188">
        <v>1</v>
      </c>
      <c r="E115" s="188">
        <v>1</v>
      </c>
      <c r="F115" s="188">
        <v>-12</v>
      </c>
      <c r="G115" s="138">
        <v>-10</v>
      </c>
      <c r="H115" s="93"/>
      <c r="I115" s="93"/>
      <c r="J115" s="93"/>
      <c r="K115" s="93"/>
    </row>
    <row r="116" spans="1:11" ht="16.5" customHeight="1">
      <c r="B116" s="99" t="s">
        <v>2617</v>
      </c>
      <c r="C116" s="110">
        <v>1</v>
      </c>
      <c r="D116" s="110">
        <v>6</v>
      </c>
      <c r="E116" s="110">
        <v>213</v>
      </c>
      <c r="F116" s="110">
        <v>12</v>
      </c>
      <c r="G116" s="101">
        <v>5</v>
      </c>
      <c r="H116" s="104" t="s">
        <v>1238</v>
      </c>
      <c r="I116" s="93"/>
      <c r="J116" s="93"/>
      <c r="K116" s="93"/>
    </row>
    <row r="117" spans="1:11" ht="16.5" customHeight="1">
      <c r="B117" s="140" t="s">
        <v>2605</v>
      </c>
      <c r="C117" s="113">
        <f ca="1">RANDBETWEEN(C115,C116)</f>
        <v>0</v>
      </c>
      <c r="D117" s="113">
        <f ca="1">RANDBETWEEN(D115,D116)</f>
        <v>3</v>
      </c>
      <c r="E117" s="113">
        <f ca="1">RANDBETWEEN(E115,E116)</f>
        <v>82</v>
      </c>
      <c r="F117" s="113">
        <f ca="1">RANDBETWEEN(F115,F116)</f>
        <v>10</v>
      </c>
      <c r="G117" s="107">
        <f ca="1">RANDBETWEEN(G115,G116)</f>
        <v>-10</v>
      </c>
      <c r="H117" s="108" t="s">
        <v>2618</v>
      </c>
      <c r="I117" s="93"/>
      <c r="J117" s="93"/>
      <c r="K117" s="93"/>
    </row>
    <row r="118" spans="1:11" ht="18.75" customHeight="1">
      <c r="B118" s="92"/>
      <c r="C118" s="93"/>
      <c r="D118" s="93"/>
      <c r="E118" s="93"/>
      <c r="F118" s="161"/>
      <c r="G118" s="93"/>
      <c r="H118" s="93"/>
      <c r="I118" s="93"/>
      <c r="J118" s="93"/>
      <c r="K118" s="93"/>
    </row>
    <row r="119" spans="1:11">
      <c r="B119" s="93"/>
      <c r="C119" s="93"/>
      <c r="D119" s="93"/>
      <c r="E119" s="93"/>
      <c r="F119" s="93"/>
      <c r="G119" s="93"/>
      <c r="H119" s="93"/>
      <c r="I119" s="93"/>
      <c r="J119" s="93"/>
      <c r="K119" s="93"/>
    </row>
    <row r="122" spans="1:11">
      <c r="H122" s="292"/>
    </row>
  </sheetData>
  <mergeCells count="38">
    <mergeCell ref="A1:C1"/>
    <mergeCell ref="E1:F1"/>
    <mergeCell ref="A2:B2"/>
    <mergeCell ref="C2:M2"/>
    <mergeCell ref="A3:B3"/>
    <mergeCell ref="C3:M3"/>
    <mergeCell ref="B12:L12"/>
    <mergeCell ref="B24:B25"/>
    <mergeCell ref="A4:B4"/>
    <mergeCell ref="C4:M4"/>
    <mergeCell ref="A5:B5"/>
    <mergeCell ref="C5:M5"/>
    <mergeCell ref="A6:B6"/>
    <mergeCell ref="C6:M6"/>
    <mergeCell ref="C7:M7"/>
    <mergeCell ref="C8:M8"/>
    <mergeCell ref="C9:M9"/>
    <mergeCell ref="B10:M10"/>
    <mergeCell ref="B11:M11"/>
    <mergeCell ref="B111:L111"/>
    <mergeCell ref="A103:B103"/>
    <mergeCell ref="C103:M103"/>
    <mergeCell ref="A104:B104"/>
    <mergeCell ref="C104:M104"/>
    <mergeCell ref="A105:B105"/>
    <mergeCell ref="C105:M105"/>
    <mergeCell ref="C106:M106"/>
    <mergeCell ref="C107:M107"/>
    <mergeCell ref="C108:M108"/>
    <mergeCell ref="B109:M109"/>
    <mergeCell ref="B110:M110"/>
    <mergeCell ref="A102:B102"/>
    <mergeCell ref="C102:M102"/>
    <mergeCell ref="C26:L26"/>
    <mergeCell ref="A100:C100"/>
    <mergeCell ref="E100:F100"/>
    <mergeCell ref="A101:B101"/>
    <mergeCell ref="C101:M101"/>
  </mergeCells>
  <phoneticPr fontId="2" type="noConversion"/>
  <pageMargins left="0.75" right="0.75" top="1" bottom="1" header="0.5" footer="0.5"/>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V104"/>
  <sheetViews>
    <sheetView zoomScale="130" zoomScaleNormal="130" workbookViewId="0">
      <selection activeCell="E1" sqref="E1:F1"/>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245</v>
      </c>
      <c r="B1" s="498"/>
      <c r="C1" s="499"/>
      <c r="D1" s="87"/>
      <c r="E1" s="500" t="str">
        <f>HYPERLINK("#目录!A137","跳转回到目录页")</f>
        <v>跳转回到目录页</v>
      </c>
      <c r="F1" s="501"/>
    </row>
    <row r="2" spans="1:48" s="88" customFormat="1" ht="26.25" customHeight="1">
      <c r="A2" s="502" t="s">
        <v>1216</v>
      </c>
      <c r="B2" s="502"/>
      <c r="C2" s="503" t="s">
        <v>246</v>
      </c>
      <c r="D2" s="503"/>
      <c r="E2" s="503"/>
      <c r="F2" s="503"/>
      <c r="G2" s="503"/>
      <c r="H2" s="503"/>
      <c r="I2" s="503"/>
      <c r="J2" s="503"/>
      <c r="K2" s="503"/>
      <c r="L2" s="503"/>
      <c r="M2" s="503"/>
    </row>
    <row r="3" spans="1:48" s="88" customFormat="1" ht="19.2" customHeight="1">
      <c r="A3" s="496" t="s">
        <v>1217</v>
      </c>
      <c r="B3" s="496"/>
      <c r="C3" s="493" t="s">
        <v>246</v>
      </c>
      <c r="D3" s="493"/>
      <c r="E3" s="493"/>
      <c r="F3" s="493"/>
      <c r="G3" s="493"/>
      <c r="H3" s="493"/>
      <c r="I3" s="493"/>
      <c r="J3" s="493"/>
      <c r="K3" s="493"/>
      <c r="L3" s="493"/>
      <c r="M3" s="493"/>
    </row>
    <row r="4" spans="1:48" s="88" customFormat="1" ht="16.5" customHeight="1">
      <c r="A4" s="496" t="s">
        <v>5786</v>
      </c>
      <c r="B4" s="496"/>
      <c r="C4" s="497" t="s">
        <v>2619</v>
      </c>
      <c r="D4" s="497"/>
      <c r="E4" s="497"/>
      <c r="F4" s="497"/>
      <c r="G4" s="497"/>
      <c r="H4" s="497"/>
      <c r="I4" s="497"/>
      <c r="J4" s="497"/>
      <c r="K4" s="497"/>
      <c r="L4" s="497"/>
      <c r="M4" s="497"/>
    </row>
    <row r="5" spans="1:48" s="88" customFormat="1" ht="21" customHeight="1">
      <c r="A5" s="496" t="s">
        <v>1220</v>
      </c>
      <c r="B5" s="496"/>
      <c r="C5" s="493" t="s">
        <v>2620</v>
      </c>
      <c r="D5" s="493"/>
      <c r="E5" s="493"/>
      <c r="F5" s="493"/>
      <c r="G5" s="493"/>
      <c r="H5" s="493"/>
      <c r="I5" s="493"/>
      <c r="J5" s="493"/>
      <c r="K5" s="493"/>
      <c r="L5" s="493"/>
      <c r="M5" s="493"/>
    </row>
    <row r="6" spans="1:48" s="88" customFormat="1" ht="16.5" customHeight="1">
      <c r="A6" s="496" t="s">
        <v>5785</v>
      </c>
      <c r="B6" s="496"/>
      <c r="C6" s="493" t="s">
        <v>2621</v>
      </c>
      <c r="D6" s="493"/>
      <c r="E6" s="493"/>
      <c r="F6" s="493"/>
      <c r="G6" s="493"/>
      <c r="H6" s="493"/>
      <c r="I6" s="493"/>
      <c r="J6" s="493"/>
      <c r="K6" s="493"/>
      <c r="L6" s="493"/>
      <c r="M6" s="493"/>
    </row>
    <row r="7" spans="1:48" s="88" customFormat="1" ht="27" customHeight="1">
      <c r="A7" s="89" t="s">
        <v>1223</v>
      </c>
      <c r="B7" s="92" t="s">
        <v>2622</v>
      </c>
      <c r="C7" s="493" t="s">
        <v>2623</v>
      </c>
      <c r="D7" s="493"/>
      <c r="E7" s="493"/>
      <c r="F7" s="493"/>
      <c r="G7" s="493"/>
      <c r="H7" s="493"/>
      <c r="I7" s="493"/>
      <c r="J7" s="493"/>
      <c r="K7" s="493"/>
      <c r="L7" s="493"/>
      <c r="M7" s="493"/>
    </row>
    <row r="8" spans="1:48" s="88" customFormat="1" ht="57.6" customHeight="1">
      <c r="A8" s="89"/>
      <c r="B8" s="92" t="s">
        <v>2624</v>
      </c>
      <c r="C8" s="493" t="s">
        <v>2625</v>
      </c>
      <c r="D8" s="493"/>
      <c r="E8" s="493"/>
      <c r="F8" s="493"/>
      <c r="G8" s="493"/>
      <c r="H8" s="493"/>
      <c r="I8" s="493"/>
      <c r="J8" s="493"/>
      <c r="K8" s="493"/>
      <c r="L8" s="493"/>
      <c r="M8" s="493"/>
    </row>
    <row r="9" spans="1:48" s="88" customFormat="1" ht="79.8" customHeight="1">
      <c r="A9" s="89"/>
      <c r="B9" s="90" t="s">
        <v>2626</v>
      </c>
      <c r="C9" s="493" t="s">
        <v>2627</v>
      </c>
      <c r="D9" s="493"/>
      <c r="E9" s="493"/>
      <c r="F9" s="493"/>
      <c r="G9" s="493"/>
      <c r="H9" s="493"/>
      <c r="I9" s="493"/>
      <c r="J9" s="493"/>
      <c r="K9" s="493"/>
      <c r="L9" s="493"/>
      <c r="M9" s="493"/>
    </row>
    <row r="10" spans="1:48" s="88" customFormat="1" ht="36.6" customHeight="1">
      <c r="A10" s="89" t="s">
        <v>1228</v>
      </c>
      <c r="B10" s="493" t="s">
        <v>2628</v>
      </c>
      <c r="C10" s="493"/>
      <c r="D10" s="493"/>
      <c r="E10" s="493"/>
      <c r="F10" s="493"/>
      <c r="G10" s="493"/>
      <c r="H10" s="493"/>
      <c r="I10" s="493"/>
      <c r="J10" s="493"/>
      <c r="K10" s="493"/>
      <c r="L10" s="493"/>
      <c r="M10" s="493"/>
    </row>
    <row r="11" spans="1:48" ht="16.5" customHeight="1">
      <c r="A11" s="89" t="s">
        <v>1229</v>
      </c>
      <c r="B11" s="493"/>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170"/>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482" t="s">
        <v>2629</v>
      </c>
      <c r="C16" s="505"/>
      <c r="D16" s="104" t="s">
        <v>1238</v>
      </c>
      <c r="E16" s="94" t="s">
        <v>2630</v>
      </c>
      <c r="F16" s="94" t="s">
        <v>2631</v>
      </c>
      <c r="G16" s="93" t="s">
        <v>1938</v>
      </c>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9">
        <v>100</v>
      </c>
      <c r="C17" s="101" t="str">
        <f>IF(B17&gt;50,"大于","小于")</f>
        <v>大于</v>
      </c>
      <c r="D17" s="108" t="s">
        <v>2632</v>
      </c>
      <c r="G17" s="509" t="s">
        <v>2633</v>
      </c>
      <c r="H17" s="509"/>
      <c r="I17" s="509"/>
      <c r="J17" s="509"/>
      <c r="K17" s="509"/>
      <c r="L17" s="509"/>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v>10</v>
      </c>
      <c r="C18" s="101" t="str">
        <f>IF(B18&gt;50,"大于","小于")</f>
        <v>小于</v>
      </c>
      <c r="D18" s="108" t="s">
        <v>2634</v>
      </c>
      <c r="G18" s="509"/>
      <c r="H18" s="509"/>
      <c r="I18" s="509"/>
      <c r="J18" s="509"/>
      <c r="K18" s="509"/>
      <c r="L18" s="509"/>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100</v>
      </c>
      <c r="C19" s="101" t="str">
        <f>IF(B19&gt;50,E16,F16)</f>
        <v>大于</v>
      </c>
      <c r="D19" s="108" t="s">
        <v>2635</v>
      </c>
      <c r="G19" s="240" t="s">
        <v>2636</v>
      </c>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05">
        <v>10</v>
      </c>
      <c r="C20" s="107">
        <f>IF(B20&gt;50,E16,)</f>
        <v>0</v>
      </c>
      <c r="D20" s="108" t="s">
        <v>2637</v>
      </c>
      <c r="G20" s="497" t="s">
        <v>2638</v>
      </c>
      <c r="H20" s="497"/>
      <c r="I20" s="497"/>
      <c r="J20" s="497"/>
      <c r="K20" s="497"/>
      <c r="L20" s="497"/>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E21" s="116" t="s">
        <v>2639</v>
      </c>
      <c r="G21" s="509" t="s">
        <v>2640</v>
      </c>
      <c r="H21" s="509"/>
      <c r="I21" s="509"/>
      <c r="J21" s="509"/>
      <c r="K21" s="509"/>
      <c r="L21" s="509"/>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G22" s="509"/>
      <c r="H22" s="509"/>
      <c r="I22" s="509"/>
      <c r="J22" s="509"/>
      <c r="K22" s="509"/>
      <c r="L22" s="509"/>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G23" s="509"/>
      <c r="H23" s="509"/>
      <c r="I23" s="509"/>
      <c r="J23" s="509"/>
      <c r="K23" s="509"/>
      <c r="L23" s="509"/>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A26" s="94" t="s">
        <v>1244</v>
      </c>
      <c r="B26" s="93" t="s">
        <v>2641</v>
      </c>
      <c r="G26" s="218"/>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A27" s="9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578" t="s">
        <v>1861</v>
      </c>
      <c r="C28" s="578"/>
      <c r="D28" s="4"/>
      <c r="H28" s="518" t="s">
        <v>2642</v>
      </c>
      <c r="I28" s="51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95" t="s">
        <v>1246</v>
      </c>
      <c r="C29" s="97" t="s">
        <v>2643</v>
      </c>
      <c r="D29" s="4"/>
      <c r="H29" s="95" t="s">
        <v>2044</v>
      </c>
      <c r="I29" s="97" t="s">
        <v>2644</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11" t="s">
        <v>1375</v>
      </c>
      <c r="C30" s="112"/>
      <c r="D30" s="4"/>
      <c r="H30" s="279" t="s">
        <v>2645</v>
      </c>
      <c r="I30" s="101">
        <v>0</v>
      </c>
      <c r="J30" s="627" t="s">
        <v>2646</v>
      </c>
      <c r="K30" s="509"/>
      <c r="L30" s="509"/>
      <c r="M30" s="509"/>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111" t="s">
        <v>1843</v>
      </c>
      <c r="C31" s="245">
        <v>0.96160000000000001</v>
      </c>
      <c r="D31" s="4">
        <f>IF(C31&gt;=$H$36,$I$36,IF(C31&gt;=$H$35,$I$35,IF(C31&gt;=$H$34,$I$34,IF(C31&gt;=$H$33,$I$33,IF(C31&gt;=$H$32,$I$32,IF(C31&gt;=$H$31,$I$31,0))))))</f>
        <v>200</v>
      </c>
      <c r="H31" s="280">
        <v>0.6</v>
      </c>
      <c r="I31" s="101">
        <v>50</v>
      </c>
      <c r="J31" s="627"/>
      <c r="K31" s="509"/>
      <c r="L31" s="509"/>
      <c r="M31" s="509"/>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111" t="s">
        <v>1845</v>
      </c>
      <c r="C32" s="245">
        <v>0.8831</v>
      </c>
      <c r="D32" s="4">
        <f t="shared" ref="D32:D40" si="0">IF(C32&gt;=$H$36,$I$36,IF(C32&gt;=$H$35,$I$35,IF(C32&gt;=$H$34,$I$34,IF(C32&gt;=$H$33,$I$33,IF(C32&gt;=$H$32,$I$32,IF(C32&gt;=$H$31,$I$31,0))))))</f>
        <v>150</v>
      </c>
      <c r="H32" s="280">
        <v>0.7</v>
      </c>
      <c r="I32" s="101">
        <v>100</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2:48" s="93" customFormat="1" ht="16.5" customHeight="1">
      <c r="B33" s="111" t="s">
        <v>1847</v>
      </c>
      <c r="C33" s="245">
        <v>0.76849999999999996</v>
      </c>
      <c r="D33" s="4">
        <f t="shared" si="0"/>
        <v>100</v>
      </c>
      <c r="H33" s="280">
        <v>0.8</v>
      </c>
      <c r="I33" s="101">
        <v>150</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2:48" s="93" customFormat="1" ht="16.5" customHeight="1">
      <c r="B34" s="111" t="s">
        <v>1848</v>
      </c>
      <c r="C34" s="245">
        <v>1.0631999999999999</v>
      </c>
      <c r="D34" s="4">
        <f t="shared" si="0"/>
        <v>250</v>
      </c>
      <c r="H34" s="280">
        <v>0.9</v>
      </c>
      <c r="I34" s="101">
        <v>200</v>
      </c>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2:48" s="93" customFormat="1" ht="16.5" customHeight="1">
      <c r="B35" s="111" t="s">
        <v>1849</v>
      </c>
      <c r="C35" s="245">
        <v>0.78949999999999998</v>
      </c>
      <c r="D35" s="4">
        <f t="shared" si="0"/>
        <v>100</v>
      </c>
      <c r="H35" s="280">
        <v>1</v>
      </c>
      <c r="I35" s="101">
        <v>250</v>
      </c>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2:48" s="93" customFormat="1" ht="16.5" customHeight="1">
      <c r="B36" s="111" t="s">
        <v>1850</v>
      </c>
      <c r="C36" s="245">
        <v>1.1265000000000001</v>
      </c>
      <c r="D36" s="4">
        <f t="shared" si="0"/>
        <v>300</v>
      </c>
      <c r="H36" s="281">
        <v>1.1000000000000001</v>
      </c>
      <c r="I36" s="107">
        <v>300</v>
      </c>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2:48" s="93" customFormat="1" ht="16.5" customHeight="1">
      <c r="B37" s="111" t="s">
        <v>1851</v>
      </c>
      <c r="C37" s="245">
        <v>0.89180000000000004</v>
      </c>
      <c r="D37" s="4">
        <f t="shared" si="0"/>
        <v>150</v>
      </c>
      <c r="E37" s="104" t="s">
        <v>1238</v>
      </c>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2:48" s="93" customFormat="1" ht="16.5" customHeight="1">
      <c r="B38" s="111" t="s">
        <v>1852</v>
      </c>
      <c r="C38" s="245">
        <v>0.92449999999999999</v>
      </c>
      <c r="D38" s="4">
        <f t="shared" si="0"/>
        <v>200</v>
      </c>
      <c r="E38" s="108" t="s">
        <v>2647</v>
      </c>
      <c r="H38" s="160"/>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2:48" s="93" customFormat="1" ht="16.5" customHeight="1">
      <c r="B39" s="111" t="s">
        <v>1853</v>
      </c>
      <c r="C39" s="245">
        <v>0.95620000000000005</v>
      </c>
      <c r="D39" s="4">
        <f t="shared" si="0"/>
        <v>200</v>
      </c>
      <c r="H39" s="160"/>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2:48" s="93" customFormat="1" ht="16.5" customHeight="1">
      <c r="B40" s="111" t="s">
        <v>1854</v>
      </c>
      <c r="C40" s="245">
        <v>0.5635</v>
      </c>
      <c r="D40" s="4">
        <f t="shared" si="0"/>
        <v>0</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2:48" s="93" customFormat="1" ht="16.5" customHeight="1">
      <c r="B41" s="151" t="s">
        <v>1375</v>
      </c>
      <c r="C41" s="150"/>
      <c r="D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2:48" ht="16.5" customHeight="1">
      <c r="E42" s="93"/>
      <c r="F42" s="93"/>
      <c r="G42" s="93"/>
      <c r="H42" s="93"/>
      <c r="I42" s="93"/>
      <c r="J42" s="93"/>
      <c r="K42" s="93"/>
      <c r="L42" s="93"/>
      <c r="M42" s="93"/>
    </row>
    <row r="43" spans="2:48" ht="16.5" customHeight="1">
      <c r="B43" s="104" t="s">
        <v>1238</v>
      </c>
      <c r="C43" s="93"/>
      <c r="D43" s="93"/>
      <c r="E43" s="93"/>
      <c r="F43" s="93"/>
      <c r="G43" s="93"/>
      <c r="H43" s="93"/>
      <c r="I43" s="93"/>
      <c r="J43" s="93"/>
      <c r="K43" s="93"/>
      <c r="L43" s="93"/>
      <c r="M43" s="93"/>
    </row>
    <row r="44" spans="2:48" ht="16.5" customHeight="1">
      <c r="B44" s="628" t="s">
        <v>2648</v>
      </c>
      <c r="C44" s="509"/>
      <c r="D44" s="509"/>
      <c r="E44" s="509"/>
      <c r="F44" s="509"/>
      <c r="G44" s="509"/>
      <c r="H44" s="509"/>
      <c r="I44" s="509"/>
      <c r="J44" s="509"/>
      <c r="K44" s="509"/>
      <c r="L44" s="509"/>
      <c r="M44" s="93"/>
    </row>
    <row r="45" spans="2:48" ht="16.5" customHeight="1">
      <c r="B45" s="509"/>
      <c r="C45" s="509"/>
      <c r="D45" s="509"/>
      <c r="E45" s="509"/>
      <c r="F45" s="509"/>
      <c r="G45" s="509"/>
      <c r="H45" s="509"/>
      <c r="I45" s="509"/>
      <c r="J45" s="509"/>
      <c r="K45" s="509"/>
      <c r="L45" s="509"/>
      <c r="M45" s="93"/>
    </row>
    <row r="46" spans="2:48" s="93" customFormat="1" ht="16.5" customHeight="1">
      <c r="B46" s="104" t="s">
        <v>2649</v>
      </c>
      <c r="C46" s="92"/>
      <c r="D46" s="92"/>
      <c r="E46" s="92"/>
      <c r="F46" s="92"/>
      <c r="G46" s="92"/>
      <c r="H46" s="92"/>
      <c r="I46" s="92"/>
      <c r="J46" s="92"/>
      <c r="K46" s="92"/>
      <c r="L46" s="92"/>
    </row>
    <row r="47" spans="2:48" s="93" customFormat="1" ht="16.5" customHeight="1">
      <c r="B47" s="628" t="s">
        <v>2650</v>
      </c>
      <c r="C47" s="509"/>
      <c r="D47" s="509"/>
      <c r="E47" s="509"/>
      <c r="F47" s="509"/>
      <c r="G47" s="509"/>
      <c r="H47" s="509"/>
      <c r="I47" s="509"/>
      <c r="J47" s="509"/>
      <c r="K47" s="509"/>
      <c r="L47" s="509"/>
    </row>
    <row r="48" spans="2:48" s="93" customFormat="1" ht="16.5" customHeight="1">
      <c r="B48" s="509"/>
      <c r="C48" s="509"/>
      <c r="D48" s="509"/>
      <c r="E48" s="509"/>
      <c r="F48" s="509"/>
      <c r="G48" s="509"/>
      <c r="H48" s="509"/>
      <c r="I48" s="509"/>
      <c r="J48" s="509"/>
      <c r="K48" s="509"/>
      <c r="L48" s="509"/>
    </row>
    <row r="49" spans="1:12" s="93" customFormat="1" ht="16.5" customHeight="1">
      <c r="B49" s="94" t="s">
        <v>2651</v>
      </c>
      <c r="C49" s="93">
        <f>IF(C31&lt;H31,I30,IF(C31&gt;=H31,I31,IF(C31&gt;=H32,I32,IF(C31&gt;=H33,I33,IF(C31&gt;=H34,I34,IF(C31&gt;=H35,I35,I36))))))</f>
        <v>50</v>
      </c>
    </row>
    <row r="50" spans="1:12" s="93" customFormat="1" ht="16.5" customHeight="1">
      <c r="B50" s="628" t="s">
        <v>5933</v>
      </c>
      <c r="C50" s="509"/>
      <c r="D50" s="509"/>
      <c r="E50" s="509"/>
      <c r="F50" s="509"/>
      <c r="G50" s="509"/>
      <c r="H50" s="509"/>
      <c r="I50" s="509"/>
      <c r="J50" s="509"/>
      <c r="K50" s="509"/>
      <c r="L50" s="509"/>
    </row>
    <row r="51" spans="1:12" s="93" customFormat="1" ht="16.5" customHeight="1">
      <c r="B51" s="104" t="s">
        <v>2649</v>
      </c>
      <c r="C51" s="509" t="s">
        <v>2652</v>
      </c>
      <c r="D51" s="509"/>
      <c r="E51" s="509"/>
      <c r="F51" s="509"/>
      <c r="G51" s="509"/>
      <c r="H51" s="509"/>
      <c r="I51" s="509"/>
      <c r="J51" s="509"/>
      <c r="K51" s="509"/>
      <c r="L51" s="509"/>
    </row>
    <row r="52" spans="1:12" s="93" customFormat="1" ht="16.5" customHeight="1"/>
    <row r="53" spans="1:12" s="93" customFormat="1" ht="16.5" customHeight="1"/>
    <row r="54" spans="1:12" s="93" customFormat="1" ht="16.5" customHeight="1"/>
    <row r="55" spans="1:12" s="93" customFormat="1" ht="16.5" customHeight="1">
      <c r="A55" s="94" t="s">
        <v>1255</v>
      </c>
      <c r="B55" s="93" t="s">
        <v>2653</v>
      </c>
    </row>
    <row r="56" spans="1:12" s="93" customFormat="1" ht="16.5" customHeight="1"/>
    <row r="57" spans="1:12" s="93" customFormat="1" ht="16.5" customHeight="1">
      <c r="B57" s="120" t="s">
        <v>2654</v>
      </c>
      <c r="C57" s="282">
        <v>8</v>
      </c>
      <c r="D57" s="104" t="s">
        <v>1238</v>
      </c>
    </row>
    <row r="58" spans="1:12" s="93" customFormat="1" ht="16.5" customHeight="1">
      <c r="B58" s="123" t="s">
        <v>2655</v>
      </c>
      <c r="C58" s="283" t="str">
        <f>IF(C57=1,1,IF(C57=2,2,IF(C57=3,3,IF(C57=4,4,IF(C57=5,5,IF(C57=6,6,""))))))</f>
        <v/>
      </c>
      <c r="D58" s="108" t="s">
        <v>2656</v>
      </c>
    </row>
    <row r="59" spans="1:12" s="93" customFormat="1" ht="16.5" customHeight="1">
      <c r="B59" s="123" t="s">
        <v>2657</v>
      </c>
      <c r="C59" s="282">
        <f>IF(C57&lt;=6,"",IF(C57=7,7,IF(C57=8,8,IF(C57=9,9,IF(C57=10,10,"")))))</f>
        <v>8</v>
      </c>
      <c r="D59" s="108" t="s">
        <v>2658</v>
      </c>
    </row>
    <row r="60" spans="1:12" s="93" customFormat="1" ht="16.5" customHeight="1"/>
    <row r="61" spans="1:12" s="93" customFormat="1" ht="16.5" customHeight="1">
      <c r="B61" s="94" t="s">
        <v>1456</v>
      </c>
      <c r="C61" s="93">
        <f>SUM(C58:C59)</f>
        <v>8</v>
      </c>
    </row>
    <row r="62" spans="1:12" s="93" customFormat="1" ht="16.5" customHeight="1"/>
    <row r="63" spans="1:12" s="93" customFormat="1" ht="16.5" customHeight="1">
      <c r="F63" s="4"/>
    </row>
    <row r="64" spans="1:12" s="93" customFormat="1" ht="16.5" customHeight="1">
      <c r="A64" s="94" t="s">
        <v>1660</v>
      </c>
      <c r="B64" s="93" t="s">
        <v>2659</v>
      </c>
      <c r="F64" s="4"/>
    </row>
    <row r="65" spans="2:13" s="93" customFormat="1" ht="16.5" customHeight="1">
      <c r="B65" s="143" t="s">
        <v>2660</v>
      </c>
      <c r="F65" s="4"/>
    </row>
    <row r="66" spans="2:13" s="93" customFormat="1" ht="16.5" customHeight="1">
      <c r="B66" s="93" t="s">
        <v>2661</v>
      </c>
      <c r="F66" s="4"/>
    </row>
    <row r="67" spans="2:13" s="93" customFormat="1" ht="16.5" customHeight="1">
      <c r="B67" s="93" t="s">
        <v>2662</v>
      </c>
      <c r="F67" s="4"/>
    </row>
    <row r="68" spans="2:13" s="93" customFormat="1" ht="16.5" customHeight="1">
      <c r="B68" s="93">
        <f>IF(LEFT(B66,4)="每男每女",--MID(B66,7,3),IF(LEN(B66)=11,--MID(B66,7,1),"没有符合"))</f>
        <v>123</v>
      </c>
      <c r="C68" s="104" t="s">
        <v>1238</v>
      </c>
      <c r="D68" s="108" t="s">
        <v>2663</v>
      </c>
      <c r="F68" s="4"/>
      <c r="H68" s="4"/>
      <c r="I68" s="4"/>
      <c r="J68" s="4"/>
      <c r="K68" s="4"/>
    </row>
    <row r="69" spans="2:13" s="93" customFormat="1" ht="16.5" customHeight="1">
      <c r="B69" s="93" t="s">
        <v>2664</v>
      </c>
      <c r="F69" s="4"/>
    </row>
    <row r="70" spans="2:13" s="93" customFormat="1" ht="16.5" customHeight="1">
      <c r="C70" s="93" t="s">
        <v>2665</v>
      </c>
      <c r="F70" s="4"/>
    </row>
    <row r="71" spans="2:13" s="93" customFormat="1" ht="16.5" customHeight="1">
      <c r="C71" s="93" t="s">
        <v>2666</v>
      </c>
      <c r="F71" s="4"/>
    </row>
    <row r="72" spans="2:13" s="93" customFormat="1" ht="16.5" customHeight="1">
      <c r="C72" s="93" t="s">
        <v>2667</v>
      </c>
      <c r="F72" s="4"/>
      <c r="H72" s="4"/>
      <c r="I72" s="4"/>
      <c r="J72" s="4"/>
      <c r="K72" s="4"/>
      <c r="L72" s="4"/>
      <c r="M72" s="4"/>
    </row>
    <row r="73" spans="2:13" s="93" customFormat="1" ht="16.5" customHeight="1">
      <c r="B73" s="93" t="s">
        <v>2668</v>
      </c>
      <c r="C73" s="93" t="str">
        <f>LEFT(B66,4)</f>
        <v>每男每女</v>
      </c>
      <c r="D73" s="104" t="s">
        <v>1238</v>
      </c>
      <c r="E73" s="108" t="s">
        <v>2669</v>
      </c>
      <c r="F73" s="4"/>
      <c r="G73" s="93" t="s">
        <v>2670</v>
      </c>
      <c r="H73" s="4"/>
      <c r="I73" s="4"/>
      <c r="J73" s="4"/>
      <c r="K73" s="4"/>
      <c r="L73" s="4"/>
      <c r="M73" s="4"/>
    </row>
    <row r="74" spans="2:13" s="93" customFormat="1" ht="16.5" customHeight="1">
      <c r="B74" s="93" t="s">
        <v>2671</v>
      </c>
      <c r="C74" s="93">
        <f>--MID(B66,7,3)</f>
        <v>123</v>
      </c>
      <c r="D74" s="104" t="s">
        <v>1238</v>
      </c>
      <c r="E74" s="108" t="s">
        <v>2672</v>
      </c>
      <c r="F74" s="4"/>
      <c r="G74" s="93" t="s">
        <v>2673</v>
      </c>
      <c r="H74" s="4"/>
      <c r="I74" s="4"/>
      <c r="J74" s="4"/>
      <c r="K74" s="4"/>
      <c r="L74" s="4"/>
      <c r="M74" s="4"/>
    </row>
    <row r="75" spans="2:13" s="93" customFormat="1" ht="16.5" customHeight="1">
      <c r="F75" s="4"/>
      <c r="G75" s="93" t="s">
        <v>2674</v>
      </c>
      <c r="H75" s="4"/>
      <c r="I75" s="4"/>
      <c r="J75" s="4"/>
      <c r="K75" s="4"/>
      <c r="L75" s="4"/>
      <c r="M75" s="4"/>
    </row>
    <row r="76" spans="2:13" s="93" customFormat="1" ht="16.5" customHeight="1">
      <c r="F76" s="4"/>
      <c r="G76" s="187" t="s">
        <v>2675</v>
      </c>
      <c r="H76" s="138">
        <f>--MID(B66,7,3)</f>
        <v>123</v>
      </c>
      <c r="I76" s="104" t="s">
        <v>1238</v>
      </c>
      <c r="J76" s="108" t="s">
        <v>2672</v>
      </c>
      <c r="K76" s="4"/>
      <c r="L76" s="4"/>
      <c r="M76" s="4"/>
    </row>
    <row r="77" spans="2:13" s="93" customFormat="1" ht="16.5" customHeight="1">
      <c r="G77" s="99" t="s">
        <v>2676</v>
      </c>
      <c r="H77" s="101" t="str">
        <f>MID(B66,7,3)</f>
        <v>123</v>
      </c>
      <c r="I77" s="104" t="s">
        <v>1238</v>
      </c>
      <c r="J77" s="108" t="s">
        <v>2677</v>
      </c>
    </row>
    <row r="78" spans="2:13" s="93" customFormat="1" ht="16.5" customHeight="1">
      <c r="G78" s="284" t="s">
        <v>2678</v>
      </c>
      <c r="H78" s="217">
        <f>SUM(H76:H77)</f>
        <v>123</v>
      </c>
      <c r="I78" s="104" t="s">
        <v>1238</v>
      </c>
      <c r="J78" s="108" t="s">
        <v>2679</v>
      </c>
    </row>
    <row r="79" spans="2:13" s="93" customFormat="1" ht="37.5" customHeight="1">
      <c r="G79" s="509" t="s">
        <v>5934</v>
      </c>
      <c r="H79" s="509"/>
      <c r="I79" s="509"/>
      <c r="J79" s="509"/>
      <c r="K79" s="509"/>
      <c r="L79" s="509"/>
    </row>
    <row r="80" spans="2:13" s="93" customFormat="1" ht="16.5" customHeight="1">
      <c r="G80" s="93" t="s">
        <v>2680</v>
      </c>
    </row>
    <row r="81" spans="2:12" s="93" customFormat="1" ht="16.5" customHeight="1">
      <c r="G81" s="285" t="s">
        <v>2681</v>
      </c>
      <c r="H81" s="286" t="s">
        <v>2682</v>
      </c>
      <c r="I81" s="286" t="s">
        <v>2683</v>
      </c>
      <c r="J81" s="287" t="s">
        <v>2684</v>
      </c>
    </row>
    <row r="82" spans="2:12" s="93" customFormat="1" ht="16.5" customHeight="1">
      <c r="G82" s="105">
        <f>MID(B66,7,3)+0</f>
        <v>123</v>
      </c>
      <c r="H82" s="113">
        <f>MID(B66,7,3)-0</f>
        <v>123</v>
      </c>
      <c r="I82" s="113">
        <f>MID(B66,7,3)*1</f>
        <v>123</v>
      </c>
      <c r="J82" s="107">
        <f>MID(B66,7,3)/1</f>
        <v>123</v>
      </c>
    </row>
    <row r="83" spans="2:12" s="93" customFormat="1" ht="16.5" customHeight="1"/>
    <row r="84" spans="2:12" s="93" customFormat="1" ht="16.5" customHeight="1">
      <c r="G84" s="93">
        <f>-MID(B66,7,3)</f>
        <v>-123</v>
      </c>
      <c r="H84" s="104" t="s">
        <v>1238</v>
      </c>
      <c r="I84" s="108" t="s">
        <v>2685</v>
      </c>
    </row>
    <row r="85" spans="2:12" s="93" customFormat="1" ht="24.75" customHeight="1">
      <c r="G85" s="509" t="s">
        <v>2686</v>
      </c>
      <c r="H85" s="509"/>
      <c r="I85" s="509"/>
      <c r="J85" s="509"/>
      <c r="K85" s="509"/>
      <c r="L85" s="509"/>
    </row>
    <row r="86" spans="2:12" s="93" customFormat="1" ht="16.5" customHeight="1">
      <c r="B86" s="93" t="s">
        <v>2687</v>
      </c>
      <c r="C86" s="93">
        <f>LEN(B66)</f>
        <v>11</v>
      </c>
      <c r="D86" s="104" t="s">
        <v>1238</v>
      </c>
      <c r="E86" s="108" t="s">
        <v>2688</v>
      </c>
    </row>
    <row r="87" spans="2:12" s="93" customFormat="1" ht="16.5" customHeight="1">
      <c r="B87" s="93" t="s">
        <v>2689</v>
      </c>
      <c r="C87" s="93">
        <f>--MID(B66,7,1)</f>
        <v>1</v>
      </c>
      <c r="D87" s="104" t="s">
        <v>1238</v>
      </c>
      <c r="E87" s="108" t="s">
        <v>2690</v>
      </c>
    </row>
    <row r="88" spans="2:12" s="93" customFormat="1" ht="16.5" customHeight="1">
      <c r="B88" s="93" t="s">
        <v>2691</v>
      </c>
      <c r="C88" s="93" t="str">
        <f>"没有符合"</f>
        <v>没有符合</v>
      </c>
      <c r="D88" s="104" t="s">
        <v>1238</v>
      </c>
      <c r="E88" s="108" t="s">
        <v>2692</v>
      </c>
    </row>
    <row r="89" spans="2:12" s="93" customFormat="1" ht="16.5" customHeight="1"/>
    <row r="90" spans="2:12" s="93" customFormat="1" ht="16.5" customHeight="1">
      <c r="B90" s="288" t="s">
        <v>2693</v>
      </c>
      <c r="C90" s="93" t="s">
        <v>2694</v>
      </c>
    </row>
    <row r="91" spans="2:12" s="93" customFormat="1" ht="16.5" customHeight="1">
      <c r="B91" s="93">
        <f>IF(LEFT(B90,4)="每男每女",--MID(B90,7,3),IF(LEN(B90)=11,--MID(B90,7,1),"没有符合"))</f>
        <v>1</v>
      </c>
      <c r="C91" s="108" t="s">
        <v>5935</v>
      </c>
    </row>
    <row r="92" spans="2:12" s="93" customFormat="1" ht="16.5" customHeight="1">
      <c r="B92" s="93" t="s">
        <v>2695</v>
      </c>
    </row>
    <row r="93" spans="2:12" s="93" customFormat="1" ht="16.5" customHeight="1"/>
    <row r="94" spans="2:12" ht="16.5" customHeight="1">
      <c r="B94" s="288" t="s">
        <v>2693</v>
      </c>
      <c r="C94" s="93" t="s">
        <v>2694</v>
      </c>
    </row>
    <row r="95" spans="2:12" ht="16.5" customHeight="1">
      <c r="B95" s="93">
        <f>IF(LEFT(B94,4)="每男每女",--MID(B94,7,3),IF(LEN(B94)=11,--MID(B94,7,1),"没有符合"))</f>
        <v>1</v>
      </c>
      <c r="C95" s="108" t="s">
        <v>5936</v>
      </c>
    </row>
    <row r="96" spans="2:12" ht="16.5" customHeight="1">
      <c r="B96" s="93" t="s">
        <v>2696</v>
      </c>
    </row>
    <row r="97" spans="2:4" ht="16.5" customHeight="1"/>
    <row r="98" spans="2:4" ht="16.5" customHeight="1">
      <c r="B98" s="93" t="s">
        <v>2661</v>
      </c>
      <c r="D98" s="93" t="s">
        <v>2697</v>
      </c>
    </row>
    <row r="99" spans="2:4" ht="16.5" customHeight="1">
      <c r="B99" s="93">
        <f>IF(LEFT(B98,4)="每男每女",--MID(B98,7,3),IF(LEN(B98)=11,--MID(B98,7,1),"没有符合"))</f>
        <v>123</v>
      </c>
      <c r="C99" s="108" t="s">
        <v>2698</v>
      </c>
    </row>
    <row r="100" spans="2:4" s="93" customFormat="1" ht="16.5" customHeight="1">
      <c r="B100" s="93" t="s">
        <v>2699</v>
      </c>
    </row>
    <row r="101" spans="2:4" s="93" customFormat="1" ht="16.5" customHeight="1"/>
    <row r="102" spans="2:4" ht="16.5" customHeight="1">
      <c r="B102" s="93" t="s">
        <v>2700</v>
      </c>
    </row>
    <row r="103" spans="2:4" ht="16.5" customHeight="1">
      <c r="B103" s="93" t="s">
        <v>2701</v>
      </c>
    </row>
    <row r="104" spans="2:4" ht="16.5" customHeight="1"/>
  </sheetData>
  <mergeCells count="31">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B16:C16"/>
    <mergeCell ref="G20:L20"/>
    <mergeCell ref="B28:C28"/>
    <mergeCell ref="H28:I28"/>
    <mergeCell ref="B50:L50"/>
    <mergeCell ref="G79:L79"/>
    <mergeCell ref="G85:L85"/>
    <mergeCell ref="J30:M31"/>
    <mergeCell ref="G21:L23"/>
    <mergeCell ref="G17:L18"/>
    <mergeCell ref="B47:L48"/>
    <mergeCell ref="B44:L45"/>
    <mergeCell ref="C51:L51"/>
  </mergeCells>
  <phoneticPr fontId="2" type="noConversion"/>
  <pageMargins left="0.75" right="0.75" top="1" bottom="1" header="0.5" footer="0.5"/>
  <pageSetup paperSize="9" orientation="portrait" horizontalDpi="1200" verticalDpi="1200"/>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14"/>
  <sheetViews>
    <sheetView workbookViewId="0">
      <selection activeCell="B2" sqref="B2"/>
    </sheetView>
  </sheetViews>
  <sheetFormatPr defaultColWidth="9" defaultRowHeight="17.399999999999999"/>
  <cols>
    <col min="1" max="16384" width="9" style="4"/>
  </cols>
  <sheetData>
    <row r="1" spans="1:5" ht="16.5" customHeight="1"/>
    <row r="2" spans="1:5" ht="27" customHeight="1">
      <c r="A2" s="320" t="s">
        <v>1211</v>
      </c>
      <c r="B2" s="406"/>
      <c r="C2" s="406"/>
      <c r="D2" s="406"/>
      <c r="E2" s="406"/>
    </row>
    <row r="3" spans="1:5" ht="16.5" customHeight="1">
      <c r="A3" s="4" t="s">
        <v>1212</v>
      </c>
    </row>
    <row r="4" spans="1:5" ht="16.5" customHeight="1">
      <c r="A4" s="4" t="s">
        <v>1213</v>
      </c>
    </row>
    <row r="5" spans="1:5" ht="16.5" customHeight="1">
      <c r="A5" s="4" t="s">
        <v>1214</v>
      </c>
    </row>
    <row r="6" spans="1:5" ht="16.5" customHeight="1">
      <c r="A6" s="4" t="s">
        <v>1215</v>
      </c>
    </row>
    <row r="7" spans="1:5" ht="16.5" customHeight="1"/>
    <row r="8" spans="1:5" ht="16.5" customHeight="1"/>
    <row r="9" spans="1:5" ht="16.5" customHeight="1"/>
    <row r="10" spans="1:5" ht="16.5" customHeight="1"/>
    <row r="11" spans="1:5" ht="16.5" customHeight="1"/>
    <row r="12" spans="1:5" ht="16.5" customHeight="1"/>
    <row r="13" spans="1:5" ht="16.5" customHeight="1"/>
    <row r="14" spans="1:5" ht="16.5" customHeight="1"/>
  </sheetData>
  <phoneticPr fontId="2" type="noConversion"/>
  <pageMargins left="0.75" right="0.75" top="1" bottom="1" header="0.5" footer="0.5"/>
  <headerFooter scaleWithDoc="0"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AV231"/>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248</v>
      </c>
      <c r="B1" s="498"/>
      <c r="C1" s="499"/>
      <c r="D1" s="87"/>
      <c r="E1" s="500" t="str">
        <f>HYPERLINK("#目录!A139","跳转回到目录页")</f>
        <v>跳转回到目录页</v>
      </c>
      <c r="F1" s="501"/>
    </row>
    <row r="2" spans="1:48" s="88" customFormat="1" ht="26.25" customHeight="1">
      <c r="A2" s="502" t="s">
        <v>1216</v>
      </c>
      <c r="B2" s="502"/>
      <c r="C2" s="503" t="s">
        <v>249</v>
      </c>
      <c r="D2" s="503"/>
      <c r="E2" s="503"/>
      <c r="F2" s="503"/>
      <c r="G2" s="503"/>
      <c r="H2" s="503"/>
      <c r="I2" s="503"/>
      <c r="J2" s="503"/>
      <c r="K2" s="503"/>
      <c r="L2" s="503"/>
      <c r="M2" s="503"/>
    </row>
    <row r="3" spans="1:48" s="88" customFormat="1" ht="16.5" customHeight="1">
      <c r="A3" s="496" t="s">
        <v>1217</v>
      </c>
      <c r="B3" s="496"/>
      <c r="C3" s="493" t="s">
        <v>2702</v>
      </c>
      <c r="D3" s="493"/>
      <c r="E3" s="493"/>
      <c r="F3" s="493"/>
      <c r="G3" s="493"/>
      <c r="H3" s="493"/>
      <c r="I3" s="493"/>
      <c r="J3" s="493"/>
      <c r="K3" s="493"/>
      <c r="L3" s="493"/>
      <c r="M3" s="493"/>
    </row>
    <row r="4" spans="1:48" s="88" customFormat="1" ht="16.5" customHeight="1">
      <c r="A4" s="496" t="s">
        <v>5786</v>
      </c>
      <c r="B4" s="496"/>
      <c r="C4" s="497" t="s">
        <v>5930</v>
      </c>
      <c r="D4" s="497"/>
      <c r="E4" s="497"/>
      <c r="F4" s="497"/>
      <c r="G4" s="497"/>
      <c r="H4" s="497"/>
      <c r="I4" s="497"/>
      <c r="J4" s="497"/>
      <c r="K4" s="497"/>
      <c r="L4" s="497"/>
      <c r="M4" s="497"/>
    </row>
    <row r="5" spans="1:48" s="88" customFormat="1" ht="16.5" customHeight="1">
      <c r="A5" s="496" t="s">
        <v>1220</v>
      </c>
      <c r="B5" s="496"/>
      <c r="C5" s="493" t="s">
        <v>2703</v>
      </c>
      <c r="D5" s="493"/>
      <c r="E5" s="493"/>
      <c r="F5" s="493"/>
      <c r="G5" s="493"/>
      <c r="H5" s="493"/>
      <c r="I5" s="493"/>
      <c r="J5" s="493"/>
      <c r="K5" s="493"/>
      <c r="L5" s="493"/>
      <c r="M5" s="493"/>
    </row>
    <row r="6" spans="1:48" s="88" customFormat="1" ht="16.5" customHeight="1">
      <c r="A6" s="496" t="s">
        <v>5785</v>
      </c>
      <c r="B6" s="496"/>
      <c r="C6" s="493" t="s">
        <v>2704</v>
      </c>
      <c r="D6" s="493"/>
      <c r="E6" s="493"/>
      <c r="F6" s="493"/>
      <c r="G6" s="493"/>
      <c r="H6" s="493"/>
      <c r="I6" s="493"/>
      <c r="J6" s="493"/>
      <c r="K6" s="493"/>
      <c r="L6" s="493"/>
      <c r="M6" s="493"/>
    </row>
    <row r="7" spans="1:48" s="88" customFormat="1" ht="16.5" customHeight="1">
      <c r="A7" s="89" t="s">
        <v>1223</v>
      </c>
      <c r="B7" s="92" t="s">
        <v>2705</v>
      </c>
      <c r="C7" s="509" t="s">
        <v>2706</v>
      </c>
      <c r="D7" s="509"/>
      <c r="E7" s="509"/>
      <c r="F7" s="509"/>
      <c r="G7" s="509"/>
      <c r="H7" s="509"/>
      <c r="I7" s="509"/>
      <c r="J7" s="509"/>
      <c r="K7" s="509"/>
      <c r="L7" s="509"/>
      <c r="M7" s="509"/>
    </row>
    <row r="8" spans="1:48" s="88" customFormat="1" ht="16.5" customHeight="1">
      <c r="A8" s="89"/>
      <c r="B8" s="92"/>
      <c r="C8" s="509"/>
      <c r="D8" s="509"/>
      <c r="E8" s="509"/>
      <c r="F8" s="509"/>
      <c r="G8" s="509"/>
      <c r="H8" s="509"/>
      <c r="I8" s="509"/>
      <c r="J8" s="509"/>
      <c r="K8" s="509"/>
      <c r="L8" s="509"/>
      <c r="M8" s="509"/>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24.75" customHeight="1">
      <c r="A11" s="89" t="s">
        <v>1229</v>
      </c>
      <c r="B11" s="493" t="s">
        <v>2707</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c r="H14" s="4"/>
      <c r="I14" s="4"/>
      <c r="J14" s="4"/>
    </row>
    <row r="15" spans="1:48" s="93" customFormat="1" ht="16.5" customHeight="1">
      <c r="H15" s="4"/>
      <c r="I15" s="4"/>
      <c r="J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518" t="s">
        <v>1932</v>
      </c>
      <c r="C16" s="518"/>
      <c r="D16" s="518"/>
      <c r="H16" s="170"/>
      <c r="I16" s="274" t="s">
        <v>1607</v>
      </c>
      <c r="J16" s="275" t="s">
        <v>1618</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5" t="s">
        <v>1246</v>
      </c>
      <c r="C17" s="96" t="s">
        <v>1607</v>
      </c>
      <c r="D17" s="97" t="s">
        <v>1968</v>
      </c>
      <c r="I17" s="276" t="s">
        <v>1968</v>
      </c>
      <c r="J17" s="277">
        <v>25</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1" t="s">
        <v>1375</v>
      </c>
      <c r="C18" s="100"/>
      <c r="D18" s="101"/>
      <c r="E18" s="278" t="s">
        <v>2708</v>
      </c>
      <c r="F18" s="104" t="s">
        <v>1238</v>
      </c>
      <c r="H18" s="170"/>
      <c r="I18" s="278" t="s">
        <v>2709</v>
      </c>
      <c r="J18" s="104" t="s">
        <v>1238</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1843</v>
      </c>
      <c r="C19" s="216" t="s">
        <v>1618</v>
      </c>
      <c r="D19" s="101">
        <v>23</v>
      </c>
      <c r="E19" s="93" t="b">
        <f>AND(C19="女",D19&gt;25)</f>
        <v>0</v>
      </c>
      <c r="F19" s="108" t="s">
        <v>2710</v>
      </c>
      <c r="I19" s="93" t="b">
        <f>AND(C19=$J$16,D19&gt;$J$17)</f>
        <v>0</v>
      </c>
      <c r="J19" s="108" t="s">
        <v>2711</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1845</v>
      </c>
      <c r="C20" s="216" t="s">
        <v>1618</v>
      </c>
      <c r="D20" s="101">
        <v>19</v>
      </c>
      <c r="E20" s="93" t="b">
        <f t="shared" ref="E20:E28" si="0">AND(C20="女",D20&gt;25)</f>
        <v>0</v>
      </c>
      <c r="F20" s="158"/>
      <c r="I20" s="93" t="b">
        <f t="shared" ref="I20:I28" si="1">AND(C20=$J$16,D20&gt;$J$17)</f>
        <v>0</v>
      </c>
      <c r="J20" s="158"/>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1847</v>
      </c>
      <c r="C21" s="216" t="s">
        <v>1618</v>
      </c>
      <c r="D21" s="101">
        <v>28</v>
      </c>
      <c r="E21" s="93" t="b">
        <f t="shared" si="0"/>
        <v>1</v>
      </c>
      <c r="F21" s="158"/>
      <c r="I21" s="93" t="b">
        <f t="shared" si="1"/>
        <v>1</v>
      </c>
      <c r="J21" s="158"/>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1848</v>
      </c>
      <c r="C22" s="216" t="s">
        <v>1618</v>
      </c>
      <c r="D22" s="101">
        <v>29</v>
      </c>
      <c r="E22" s="93" t="b">
        <f t="shared" si="0"/>
        <v>1</v>
      </c>
      <c r="F22" s="158"/>
      <c r="H22" s="170"/>
      <c r="I22" s="93" t="b">
        <f t="shared" si="1"/>
        <v>1</v>
      </c>
      <c r="J22" s="158"/>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1849</v>
      </c>
      <c r="C23" s="216" t="s">
        <v>1618</v>
      </c>
      <c r="D23" s="101">
        <v>25</v>
      </c>
      <c r="E23" s="93" t="b">
        <f t="shared" si="0"/>
        <v>0</v>
      </c>
      <c r="F23" s="158"/>
      <c r="H23" s="161"/>
      <c r="I23" s="93" t="b">
        <f t="shared" si="1"/>
        <v>0</v>
      </c>
      <c r="J23" s="158"/>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1850</v>
      </c>
      <c r="C24" s="216" t="s">
        <v>1618</v>
      </c>
      <c r="D24" s="101">
        <v>30</v>
      </c>
      <c r="E24" s="93" t="b">
        <f t="shared" si="0"/>
        <v>1</v>
      </c>
      <c r="F24" s="158"/>
      <c r="H24" s="263"/>
      <c r="I24" s="93" t="b">
        <f t="shared" si="1"/>
        <v>1</v>
      </c>
      <c r="J24" s="158"/>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1851</v>
      </c>
      <c r="C25" s="216" t="s">
        <v>1612</v>
      </c>
      <c r="D25" s="101">
        <v>24</v>
      </c>
      <c r="E25" s="93" t="b">
        <f t="shared" si="0"/>
        <v>0</v>
      </c>
      <c r="F25" s="158"/>
      <c r="H25" s="161"/>
      <c r="I25" s="93" t="b">
        <f t="shared" si="1"/>
        <v>0</v>
      </c>
      <c r="J25" s="158"/>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1852</v>
      </c>
      <c r="C26" s="216" t="s">
        <v>1612</v>
      </c>
      <c r="D26" s="101">
        <v>22</v>
      </c>
      <c r="E26" s="93" t="b">
        <f t="shared" si="0"/>
        <v>0</v>
      </c>
      <c r="F26" s="158"/>
      <c r="H26" s="161"/>
      <c r="I26" s="93" t="b">
        <f t="shared" si="1"/>
        <v>0</v>
      </c>
      <c r="J26" s="158"/>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1853</v>
      </c>
      <c r="C27" s="216" t="s">
        <v>1618</v>
      </c>
      <c r="D27" s="101">
        <v>23</v>
      </c>
      <c r="E27" s="93" t="b">
        <f t="shared" si="0"/>
        <v>0</v>
      </c>
      <c r="F27" s="158"/>
      <c r="I27" s="93" t="b">
        <f t="shared" si="1"/>
        <v>0</v>
      </c>
      <c r="J27" s="158"/>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1854</v>
      </c>
      <c r="C28" s="216" t="s">
        <v>1618</v>
      </c>
      <c r="D28" s="101">
        <v>26</v>
      </c>
      <c r="E28" s="93" t="b">
        <f t="shared" si="0"/>
        <v>1</v>
      </c>
      <c r="F28" s="158"/>
      <c r="H28" s="170"/>
      <c r="I28" s="93" t="b">
        <f t="shared" si="1"/>
        <v>1</v>
      </c>
      <c r="J28" s="158"/>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51" t="s">
        <v>1375</v>
      </c>
      <c r="C29" s="106"/>
      <c r="D29" s="107"/>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H30" s="4"/>
      <c r="I30" s="4"/>
      <c r="J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H31" s="4"/>
      <c r="I31" s="4"/>
      <c r="J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A32" s="94" t="s">
        <v>1244</v>
      </c>
      <c r="B32" s="93" t="s">
        <v>2712</v>
      </c>
      <c r="H32" s="219"/>
      <c r="I32" s="4"/>
      <c r="J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H33" s="189"/>
      <c r="I33" s="4"/>
      <c r="J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518" t="s">
        <v>2713</v>
      </c>
      <c r="C34" s="518"/>
      <c r="D34" s="518"/>
      <c r="H34" s="189"/>
      <c r="I34" s="4"/>
      <c r="J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B35" s="95" t="s">
        <v>1246</v>
      </c>
      <c r="C35" s="96" t="s">
        <v>2714</v>
      </c>
      <c r="D35" s="97" t="s">
        <v>2715</v>
      </c>
      <c r="H35" s="189"/>
      <c r="I35" s="4"/>
      <c r="J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B36" s="111" t="s">
        <v>1375</v>
      </c>
      <c r="C36" s="100"/>
      <c r="D36" s="101"/>
      <c r="F36" s="104" t="s">
        <v>1238</v>
      </c>
      <c r="H36" s="189"/>
      <c r="I36" s="4"/>
      <c r="J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B37" s="111" t="s">
        <v>1843</v>
      </c>
      <c r="C37" s="100">
        <v>86</v>
      </c>
      <c r="D37" s="101">
        <v>92</v>
      </c>
      <c r="E37" s="94" t="str">
        <f>IF(AND(C37&gt;80,D37&gt;80),"优","不及格")</f>
        <v>优</v>
      </c>
      <c r="F37" s="108" t="s">
        <v>2716</v>
      </c>
      <c r="H37" s="189"/>
      <c r="I37" s="4"/>
      <c r="J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B38" s="111" t="s">
        <v>1845</v>
      </c>
      <c r="C38" s="100">
        <v>92</v>
      </c>
      <c r="D38" s="101">
        <v>95</v>
      </c>
      <c r="E38" s="94" t="str">
        <f t="shared" ref="E38:E46" si="2">IF(AND(C38&gt;80,D38&gt;80),"优","不及格")</f>
        <v>优</v>
      </c>
      <c r="H38" s="189"/>
      <c r="I38" s="4"/>
      <c r="J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B39" s="111" t="s">
        <v>1847</v>
      </c>
      <c r="C39" s="100">
        <v>65</v>
      </c>
      <c r="D39" s="101">
        <v>78</v>
      </c>
      <c r="E39" s="94" t="str">
        <f t="shared" si="2"/>
        <v>不及格</v>
      </c>
      <c r="H39" s="189"/>
      <c r="I39" s="4"/>
      <c r="J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111" t="s">
        <v>1848</v>
      </c>
      <c r="C40" s="100">
        <v>83</v>
      </c>
      <c r="D40" s="101">
        <v>86</v>
      </c>
      <c r="E40" s="94" t="str">
        <f t="shared" si="2"/>
        <v>优</v>
      </c>
      <c r="F40" s="4"/>
      <c r="G40" s="4"/>
      <c r="H40" s="189"/>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111" t="s">
        <v>1849</v>
      </c>
      <c r="C41" s="100">
        <v>92</v>
      </c>
      <c r="D41" s="101">
        <v>93</v>
      </c>
      <c r="E41" s="94" t="str">
        <f t="shared" si="2"/>
        <v>优</v>
      </c>
      <c r="F41" s="4"/>
      <c r="G41" s="4"/>
      <c r="H41" s="189"/>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111" t="s">
        <v>1850</v>
      </c>
      <c r="C42" s="100">
        <v>78</v>
      </c>
      <c r="D42" s="101">
        <v>82</v>
      </c>
      <c r="E42" s="94" t="str">
        <f t="shared" si="2"/>
        <v>不及格</v>
      </c>
      <c r="F42" s="4"/>
      <c r="G42" s="4"/>
      <c r="H42" s="189"/>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111" t="s">
        <v>1851</v>
      </c>
      <c r="C43" s="100">
        <v>96</v>
      </c>
      <c r="D43" s="101">
        <v>98</v>
      </c>
      <c r="E43" s="94" t="str">
        <f t="shared" si="2"/>
        <v>优</v>
      </c>
      <c r="F43" s="4"/>
      <c r="G43" s="4"/>
      <c r="H43" s="189"/>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111" t="s">
        <v>1852</v>
      </c>
      <c r="C44" s="100">
        <v>94</v>
      </c>
      <c r="D44" s="101">
        <v>93</v>
      </c>
      <c r="E44" s="94" t="str">
        <f t="shared" si="2"/>
        <v>优</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111" t="s">
        <v>1853</v>
      </c>
      <c r="C45" s="100">
        <v>89</v>
      </c>
      <c r="D45" s="101">
        <v>83</v>
      </c>
      <c r="E45" s="94" t="str">
        <f t="shared" si="2"/>
        <v>优</v>
      </c>
      <c r="F45" s="4"/>
      <c r="G45" s="4"/>
      <c r="H45" s="233"/>
      <c r="I45" s="232"/>
      <c r="J45" s="232"/>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111" t="s">
        <v>1854</v>
      </c>
      <c r="C46" s="100">
        <v>84</v>
      </c>
      <c r="D46" s="101">
        <v>80</v>
      </c>
      <c r="E46" s="94" t="str">
        <f t="shared" si="2"/>
        <v>不及格</v>
      </c>
      <c r="F46" s="4"/>
      <c r="G46" s="4"/>
      <c r="H46" s="232"/>
      <c r="I46" s="232"/>
      <c r="J46" s="232"/>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151" t="s">
        <v>1375</v>
      </c>
      <c r="C47" s="106"/>
      <c r="D47" s="107"/>
      <c r="E47" s="4"/>
      <c r="F47" s="4"/>
      <c r="G47" s="4"/>
      <c r="H47" s="232"/>
      <c r="I47" s="233"/>
      <c r="J47" s="233"/>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B48" s="94"/>
      <c r="C48" s="94"/>
      <c r="E48" s="4"/>
      <c r="F48" s="4"/>
      <c r="G48" s="4"/>
      <c r="H48" s="232"/>
      <c r="I48" s="233"/>
      <c r="J48" s="233"/>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2:48" s="93" customFormat="1" ht="16.5" customHeight="1">
      <c r="B49" s="94"/>
      <c r="C49" s="94"/>
      <c r="E49" s="4"/>
      <c r="F49" s="4"/>
      <c r="G49" s="4"/>
      <c r="H49" s="232"/>
      <c r="I49" s="233"/>
      <c r="J49" s="233"/>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2:48" s="93" customFormat="1" ht="16.5" customHeight="1">
      <c r="B50" s="94"/>
      <c r="C50" s="94"/>
      <c r="E50" s="4"/>
      <c r="F50" s="4"/>
      <c r="G50" s="4"/>
      <c r="H50" s="232"/>
      <c r="I50" s="233"/>
      <c r="J50" s="233"/>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2:48" s="93" customFormat="1" ht="16.5" customHeight="1">
      <c r="B51" s="94"/>
      <c r="C51" s="94"/>
      <c r="E51" s="4"/>
      <c r="F51" s="4"/>
      <c r="G51" s="4"/>
      <c r="H51" s="232"/>
      <c r="I51" s="233"/>
      <c r="J51" s="233"/>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2:48" s="93" customFormat="1" ht="16.5" customHeight="1">
      <c r="B52" s="94"/>
      <c r="C52" s="94"/>
      <c r="E52" s="4"/>
      <c r="F52" s="4"/>
      <c r="G52" s="4"/>
      <c r="H52" s="232"/>
      <c r="I52" s="233"/>
      <c r="J52" s="233"/>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2:48" s="93" customFormat="1" ht="16.5" customHeight="1">
      <c r="B53" s="94"/>
      <c r="C53" s="94"/>
      <c r="E53" s="4"/>
      <c r="F53" s="4"/>
      <c r="G53" s="4"/>
      <c r="H53" s="232"/>
      <c r="I53" s="233"/>
      <c r="J53" s="233"/>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2:48" s="93" customFormat="1" ht="16.5" customHeight="1">
      <c r="B54" s="94"/>
      <c r="C54" s="94"/>
      <c r="E54" s="4"/>
      <c r="F54" s="4"/>
      <c r="G54" s="4"/>
      <c r="H54" s="232"/>
      <c r="I54" s="233"/>
      <c r="J54" s="233"/>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2:48" s="93" customFormat="1" ht="16.5" customHeight="1">
      <c r="B55" s="94"/>
      <c r="C55" s="94"/>
      <c r="E55" s="4"/>
      <c r="F55" s="4"/>
      <c r="G55" s="4"/>
      <c r="H55" s="232"/>
      <c r="I55" s="233"/>
      <c r="J55" s="233"/>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2:48" s="93" customFormat="1" ht="16.5" customHeight="1">
      <c r="B56" s="94"/>
      <c r="C56" s="94"/>
      <c r="E56" s="4"/>
      <c r="F56" s="4"/>
      <c r="G56" s="4"/>
      <c r="H56" s="232"/>
      <c r="I56" s="233"/>
      <c r="J56" s="233"/>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2:48" s="93" customFormat="1" ht="16.5" customHeight="1">
      <c r="B57" s="94"/>
      <c r="C57" s="94"/>
      <c r="E57" s="4"/>
      <c r="F57" s="4"/>
      <c r="G57" s="4"/>
      <c r="H57" s="232"/>
      <c r="I57" s="233"/>
      <c r="J57" s="233"/>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2:48" s="93" customFormat="1" ht="16.5" customHeight="1">
      <c r="B58" s="94"/>
      <c r="C58" s="94"/>
      <c r="E58" s="4"/>
      <c r="F58" s="4"/>
      <c r="G58" s="4"/>
      <c r="H58" s="232"/>
      <c r="I58" s="233"/>
      <c r="J58" s="233"/>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2:48" s="93" customFormat="1" ht="16.5" customHeight="1">
      <c r="B59" s="94"/>
      <c r="C59" s="94"/>
      <c r="E59" s="4"/>
      <c r="F59" s="4"/>
      <c r="G59" s="4"/>
      <c r="H59" s="232"/>
      <c r="I59" s="233"/>
      <c r="J59" s="233"/>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2:48" s="93" customFormat="1" ht="16.5" customHeight="1">
      <c r="B60" s="94"/>
      <c r="C60" s="94"/>
      <c r="E60" s="4"/>
      <c r="F60" s="4"/>
      <c r="G60" s="4"/>
      <c r="H60" s="232"/>
      <c r="I60" s="233"/>
      <c r="J60" s="233"/>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2:48" s="93" customFormat="1" ht="16.5" customHeight="1">
      <c r="B61" s="94"/>
      <c r="C61" s="94"/>
      <c r="E61" s="4"/>
      <c r="F61" s="4"/>
      <c r="G61" s="4"/>
      <c r="H61" s="232"/>
      <c r="I61" s="233"/>
      <c r="J61" s="233"/>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2:48" s="93" customFormat="1" ht="16.5" customHeight="1">
      <c r="B62" s="94"/>
      <c r="C62" s="94"/>
      <c r="E62" s="4"/>
      <c r="F62" s="4"/>
      <c r="G62" s="4"/>
      <c r="H62" s="232"/>
      <c r="I62" s="233"/>
      <c r="J62" s="233"/>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2:48" s="93" customFormat="1" ht="16.5" customHeight="1">
      <c r="B63" s="94"/>
      <c r="C63" s="94"/>
      <c r="E63" s="4"/>
      <c r="F63" s="4"/>
      <c r="G63" s="4"/>
      <c r="H63" s="232"/>
      <c r="I63" s="233"/>
      <c r="J63" s="233"/>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2:48" s="93" customFormat="1" ht="16.5" customHeight="1">
      <c r="B64" s="94"/>
      <c r="C64" s="94"/>
      <c r="E64" s="4"/>
      <c r="F64" s="4"/>
      <c r="G64" s="4"/>
      <c r="H64" s="232"/>
      <c r="I64" s="233"/>
      <c r="J64" s="233"/>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2:48" s="93" customFormat="1" ht="16.5" customHeight="1">
      <c r="B65" s="94"/>
      <c r="C65" s="94"/>
      <c r="E65" s="4"/>
      <c r="F65" s="4"/>
      <c r="G65" s="4"/>
      <c r="H65" s="232"/>
      <c r="I65" s="233"/>
      <c r="J65" s="233"/>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2:48" s="93" customFormat="1" ht="16.5" customHeight="1">
      <c r="B66" s="94"/>
      <c r="C66" s="94"/>
      <c r="E66" s="4"/>
      <c r="F66" s="4"/>
      <c r="G66" s="4"/>
      <c r="H66" s="232"/>
      <c r="I66" s="233"/>
      <c r="J66" s="233"/>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2:48" s="93" customFormat="1" ht="16.5" customHeight="1">
      <c r="B67" s="94"/>
      <c r="C67" s="94"/>
      <c r="E67" s="4"/>
      <c r="F67" s="4"/>
      <c r="G67" s="4"/>
      <c r="H67" s="232"/>
      <c r="I67" s="233"/>
      <c r="J67" s="233"/>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2:48" s="93" customFormat="1" ht="16.5" customHeight="1">
      <c r="B68" s="94"/>
      <c r="C68" s="94"/>
      <c r="E68" s="4"/>
      <c r="F68" s="4"/>
      <c r="G68" s="4"/>
      <c r="H68" s="232"/>
      <c r="I68" s="233"/>
      <c r="J68" s="233"/>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2:48" s="93" customFormat="1" ht="16.5" customHeight="1">
      <c r="B69" s="94"/>
      <c r="C69" s="94"/>
      <c r="E69" s="4"/>
      <c r="F69" s="4"/>
      <c r="G69" s="4"/>
      <c r="H69" s="232"/>
      <c r="I69" s="233"/>
      <c r="J69" s="233"/>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2:48" s="93" customFormat="1" ht="16.5" customHeight="1">
      <c r="B70" s="94"/>
      <c r="C70" s="94"/>
      <c r="E70" s="4"/>
      <c r="F70" s="4"/>
      <c r="G70" s="4"/>
      <c r="H70" s="232"/>
      <c r="I70" s="233"/>
      <c r="J70" s="233"/>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2:48" s="93" customFormat="1" ht="16.5" customHeight="1">
      <c r="B71" s="94"/>
      <c r="C71" s="94"/>
      <c r="E71" s="4"/>
      <c r="F71" s="4"/>
      <c r="G71" s="4"/>
      <c r="H71" s="232"/>
      <c r="I71" s="233"/>
      <c r="J71" s="233"/>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2:48" s="93" customFormat="1" ht="16.5" customHeight="1">
      <c r="B72" s="94"/>
      <c r="C72" s="94"/>
      <c r="E72" s="4"/>
      <c r="F72" s="4"/>
      <c r="G72" s="4"/>
      <c r="H72" s="232"/>
      <c r="I72" s="233"/>
      <c r="J72" s="233"/>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2:48" s="93" customFormat="1" ht="16.5" customHeight="1">
      <c r="B73" s="94"/>
      <c r="C73" s="94"/>
      <c r="E73" s="4"/>
      <c r="F73" s="4"/>
      <c r="G73" s="4"/>
      <c r="H73" s="232"/>
      <c r="I73" s="233"/>
      <c r="J73" s="233"/>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2:48" s="93" customFormat="1" ht="16.5" customHeight="1">
      <c r="B74" s="94"/>
      <c r="C74" s="94"/>
      <c r="E74" s="4"/>
      <c r="F74" s="4"/>
      <c r="G74" s="4"/>
      <c r="H74" s="232"/>
      <c r="I74" s="233"/>
      <c r="J74" s="233"/>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2:48" s="93" customFormat="1" ht="16.5" customHeight="1">
      <c r="B75" s="94"/>
      <c r="C75" s="94"/>
      <c r="E75" s="4"/>
      <c r="F75" s="4"/>
      <c r="G75" s="4"/>
      <c r="H75" s="232"/>
      <c r="I75" s="233"/>
      <c r="J75" s="233"/>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2:48" s="93" customFormat="1" ht="16.5" customHeight="1">
      <c r="B76" s="94"/>
      <c r="C76" s="94"/>
      <c r="E76" s="4"/>
      <c r="F76" s="4"/>
      <c r="G76" s="4"/>
      <c r="H76" s="232"/>
      <c r="I76" s="233"/>
      <c r="J76" s="233"/>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2:48" s="93" customFormat="1" ht="16.5" customHeight="1">
      <c r="B77" s="94"/>
      <c r="C77" s="94"/>
      <c r="E77" s="4"/>
      <c r="F77" s="4"/>
      <c r="G77" s="4"/>
      <c r="H77" s="232"/>
      <c r="I77" s="233"/>
      <c r="J77" s="233"/>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2:48" s="93" customFormat="1" ht="14.25" customHeight="1">
      <c r="B78" s="94"/>
      <c r="C78" s="94"/>
      <c r="E78" s="4"/>
      <c r="F78" s="4"/>
      <c r="G78" s="4"/>
      <c r="H78" s="232"/>
      <c r="I78" s="233"/>
      <c r="J78" s="233"/>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2:48" s="93" customFormat="1" ht="14.25" customHeight="1">
      <c r="B79" s="94"/>
      <c r="C79" s="94"/>
      <c r="E79" s="4"/>
      <c r="F79" s="4"/>
      <c r="G79" s="4"/>
      <c r="H79" s="232"/>
      <c r="I79" s="233"/>
      <c r="J79" s="233"/>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2:48" s="93" customFormat="1" ht="14.25" customHeight="1">
      <c r="B80" s="94"/>
      <c r="C80" s="94"/>
      <c r="E80" s="4"/>
      <c r="F80" s="4"/>
      <c r="G80" s="4"/>
      <c r="H80" s="232"/>
      <c r="I80" s="233"/>
      <c r="J80" s="233"/>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2:48" s="93" customFormat="1" ht="14.25" customHeight="1">
      <c r="B81" s="94"/>
      <c r="C81" s="94"/>
      <c r="E81" s="4"/>
      <c r="F81" s="4"/>
      <c r="G81" s="4"/>
      <c r="H81" s="232"/>
      <c r="I81" s="233"/>
      <c r="J81" s="233"/>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2:48" s="93" customFormat="1" ht="14.25" customHeight="1">
      <c r="B82" s="94"/>
      <c r="C82" s="94"/>
      <c r="E82" s="4"/>
      <c r="F82" s="4"/>
      <c r="G82" s="4"/>
      <c r="H82" s="232"/>
      <c r="I82" s="233"/>
      <c r="J82" s="233"/>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2:48" s="93" customFormat="1" ht="14.25" customHeight="1">
      <c r="B83" s="94"/>
      <c r="C83" s="94"/>
      <c r="E83" s="4"/>
      <c r="F83" s="4"/>
      <c r="G83" s="4"/>
      <c r="H83" s="232"/>
      <c r="I83" s="233"/>
      <c r="J83" s="233"/>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2:48" s="93" customFormat="1" ht="14.25" customHeight="1">
      <c r="B84" s="94"/>
      <c r="C84" s="94"/>
      <c r="E84" s="4"/>
      <c r="F84" s="4"/>
      <c r="G84" s="4"/>
      <c r="H84" s="232"/>
      <c r="I84" s="233"/>
      <c r="J84" s="233"/>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2:48" s="93" customFormat="1" ht="14.25" customHeight="1">
      <c r="B85" s="94"/>
      <c r="C85" s="94"/>
      <c r="E85" s="4"/>
      <c r="F85" s="4"/>
      <c r="G85" s="4"/>
      <c r="H85" s="232"/>
      <c r="I85" s="233"/>
      <c r="J85" s="233"/>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2:48" s="93" customFormat="1" ht="14.25" customHeight="1">
      <c r="B86" s="94"/>
      <c r="C86" s="94"/>
      <c r="E86" s="4"/>
      <c r="F86" s="4"/>
      <c r="G86" s="4"/>
      <c r="H86" s="232"/>
      <c r="I86" s="233"/>
      <c r="J86" s="233"/>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2:48" s="93" customFormat="1" ht="14.25" customHeight="1">
      <c r="B87" s="94"/>
      <c r="C87" s="94"/>
      <c r="E87" s="4"/>
      <c r="F87" s="4"/>
      <c r="G87" s="4"/>
      <c r="H87" s="232"/>
      <c r="I87" s="233"/>
      <c r="J87" s="233"/>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2:48" s="93" customFormat="1" ht="14.25" customHeight="1">
      <c r="B88" s="94"/>
      <c r="C88" s="94"/>
      <c r="E88" s="4"/>
      <c r="F88" s="4"/>
      <c r="G88" s="4"/>
      <c r="H88" s="232"/>
      <c r="I88" s="233"/>
      <c r="J88" s="233"/>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2:48" s="93" customFormat="1" ht="14.25" customHeight="1">
      <c r="B89" s="94"/>
      <c r="C89" s="94"/>
      <c r="E89" s="4"/>
      <c r="F89" s="4"/>
      <c r="G89" s="4"/>
      <c r="H89" s="232"/>
      <c r="I89" s="233"/>
      <c r="J89" s="233"/>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2:48" s="93" customFormat="1" ht="14.25" customHeight="1">
      <c r="B90" s="94"/>
      <c r="C90" s="94"/>
      <c r="E90" s="4"/>
      <c r="F90" s="4"/>
      <c r="G90" s="4"/>
      <c r="H90" s="232"/>
      <c r="I90" s="233"/>
      <c r="J90" s="233"/>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2:48" s="93" customFormat="1" ht="14.25" customHeight="1">
      <c r="B91" s="94"/>
      <c r="C91" s="94"/>
      <c r="E91" s="4"/>
      <c r="F91" s="4"/>
      <c r="G91" s="4"/>
      <c r="H91" s="232"/>
      <c r="I91" s="233"/>
      <c r="J91" s="233"/>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4.25" customHeight="1">
      <c r="B92" s="94"/>
      <c r="C92" s="94"/>
      <c r="E92" s="4"/>
      <c r="F92" s="4"/>
      <c r="G92" s="4"/>
      <c r="H92" s="232"/>
      <c r="I92" s="233"/>
      <c r="J92" s="233"/>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4.25" customHeight="1">
      <c r="B93" s="94"/>
      <c r="C93" s="94"/>
      <c r="E93" s="4"/>
      <c r="F93" s="4"/>
      <c r="G93" s="4"/>
      <c r="H93" s="232"/>
      <c r="I93" s="233"/>
      <c r="J93" s="233"/>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4.25" customHeight="1">
      <c r="B94" s="94"/>
      <c r="C94" s="94"/>
      <c r="E94" s="4"/>
      <c r="F94" s="4"/>
      <c r="G94" s="4"/>
      <c r="H94" s="232"/>
      <c r="I94" s="233"/>
      <c r="J94" s="233"/>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4.25" customHeight="1">
      <c r="B95" s="94"/>
      <c r="C95" s="94"/>
      <c r="E95" s="4"/>
      <c r="F95" s="4"/>
      <c r="G95" s="4"/>
      <c r="H95" s="232"/>
      <c r="I95" s="233"/>
      <c r="J95" s="233"/>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s="93" customFormat="1" ht="14.25" customHeight="1">
      <c r="B96" s="94"/>
      <c r="C96" s="94"/>
      <c r="E96" s="4"/>
      <c r="F96" s="4"/>
      <c r="G96" s="4"/>
      <c r="H96" s="232"/>
      <c r="I96" s="233"/>
      <c r="J96" s="233"/>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4.25" customHeight="1">
      <c r="B97" s="94"/>
      <c r="C97" s="94"/>
      <c r="E97" s="4"/>
      <c r="F97" s="4"/>
      <c r="G97" s="4"/>
      <c r="H97" s="232"/>
      <c r="I97" s="233"/>
      <c r="J97" s="233"/>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spans="1:48" ht="14.25" customHeight="1">
      <c r="H98" s="232"/>
      <c r="I98" s="233"/>
      <c r="J98" s="233"/>
    </row>
    <row r="99" spans="1:48" ht="14.25" customHeight="1">
      <c r="H99" s="232"/>
      <c r="I99" s="233"/>
      <c r="J99" s="233"/>
    </row>
    <row r="100" spans="1:48" s="88" customFormat="1" ht="26.25" customHeight="1">
      <c r="A100" s="498" t="s">
        <v>250</v>
      </c>
      <c r="B100" s="498"/>
      <c r="C100" s="499"/>
      <c r="D100" s="87"/>
      <c r="E100" s="500" t="str">
        <f>HYPERLINK("#目录!A140","跳转回到目录页")</f>
        <v>跳转回到目录页</v>
      </c>
      <c r="F100" s="501"/>
    </row>
    <row r="101" spans="1:48" s="88" customFormat="1" ht="26.25" customHeight="1">
      <c r="A101" s="502" t="s">
        <v>1216</v>
      </c>
      <c r="B101" s="502"/>
      <c r="C101" s="503" t="s">
        <v>251</v>
      </c>
      <c r="D101" s="503"/>
      <c r="E101" s="503"/>
      <c r="F101" s="503"/>
      <c r="G101" s="503"/>
      <c r="H101" s="503"/>
      <c r="I101" s="503"/>
      <c r="J101" s="503"/>
      <c r="K101" s="503"/>
      <c r="L101" s="503"/>
      <c r="M101" s="503"/>
    </row>
    <row r="102" spans="1:48" s="88" customFormat="1" ht="16.5" customHeight="1">
      <c r="A102" s="496" t="s">
        <v>1217</v>
      </c>
      <c r="B102" s="496"/>
      <c r="C102" s="493" t="s">
        <v>2717</v>
      </c>
      <c r="D102" s="493"/>
      <c r="E102" s="493"/>
      <c r="F102" s="493"/>
      <c r="G102" s="493"/>
      <c r="H102" s="493"/>
      <c r="I102" s="493"/>
      <c r="J102" s="493"/>
      <c r="K102" s="493"/>
      <c r="L102" s="493"/>
      <c r="M102" s="493"/>
    </row>
    <row r="103" spans="1:48" s="88" customFormat="1" ht="16.5" customHeight="1">
      <c r="A103" s="496" t="s">
        <v>5786</v>
      </c>
      <c r="B103" s="496"/>
      <c r="C103" s="497" t="s">
        <v>5931</v>
      </c>
      <c r="D103" s="497"/>
      <c r="E103" s="497"/>
      <c r="F103" s="497"/>
      <c r="G103" s="497"/>
      <c r="H103" s="497"/>
      <c r="I103" s="497"/>
      <c r="J103" s="497"/>
      <c r="K103" s="497"/>
      <c r="L103" s="497"/>
      <c r="M103" s="497"/>
    </row>
    <row r="104" spans="1:48" s="88" customFormat="1" ht="16.5" customHeight="1">
      <c r="A104" s="496" t="s">
        <v>1220</v>
      </c>
      <c r="B104" s="496"/>
      <c r="C104" s="493" t="s">
        <v>2718</v>
      </c>
      <c r="D104" s="493"/>
      <c r="E104" s="493"/>
      <c r="F104" s="493"/>
      <c r="G104" s="493"/>
      <c r="H104" s="493"/>
      <c r="I104" s="493"/>
      <c r="J104" s="493"/>
      <c r="K104" s="493"/>
      <c r="L104" s="493"/>
      <c r="M104" s="493"/>
    </row>
    <row r="105" spans="1:48" s="88" customFormat="1" ht="16.5" customHeight="1">
      <c r="A105" s="496" t="s">
        <v>5785</v>
      </c>
      <c r="B105" s="496"/>
      <c r="C105" s="493" t="s">
        <v>2719</v>
      </c>
      <c r="D105" s="493"/>
      <c r="E105" s="493"/>
      <c r="F105" s="493"/>
      <c r="G105" s="493"/>
      <c r="H105" s="493"/>
      <c r="I105" s="493"/>
      <c r="J105" s="493"/>
      <c r="K105" s="493"/>
      <c r="L105" s="493"/>
      <c r="M105" s="493"/>
    </row>
    <row r="106" spans="1:48" s="88" customFormat="1" ht="16.5" customHeight="1">
      <c r="A106" s="89" t="s">
        <v>1223</v>
      </c>
      <c r="B106" s="92" t="s">
        <v>2705</v>
      </c>
      <c r="C106" s="509" t="s">
        <v>2720</v>
      </c>
      <c r="D106" s="509"/>
      <c r="E106" s="509"/>
      <c r="F106" s="509"/>
      <c r="G106" s="509"/>
      <c r="H106" s="509"/>
      <c r="I106" s="509"/>
      <c r="J106" s="509"/>
      <c r="K106" s="509"/>
      <c r="L106" s="509"/>
      <c r="M106" s="509"/>
    </row>
    <row r="107" spans="1:48" s="88" customFormat="1" ht="16.5" customHeight="1">
      <c r="A107" s="89"/>
      <c r="B107" s="92"/>
      <c r="C107" s="509"/>
      <c r="D107" s="509"/>
      <c r="E107" s="509"/>
      <c r="F107" s="509"/>
      <c r="G107" s="509"/>
      <c r="H107" s="509"/>
      <c r="I107" s="509"/>
      <c r="J107" s="509"/>
      <c r="K107" s="509"/>
      <c r="L107" s="509"/>
      <c r="M107" s="509"/>
    </row>
    <row r="108" spans="1:48" s="88" customFormat="1" ht="16.5" customHeight="1">
      <c r="A108" s="89"/>
      <c r="B108" s="90"/>
      <c r="C108" s="493"/>
      <c r="D108" s="493"/>
      <c r="E108" s="493"/>
      <c r="F108" s="493"/>
      <c r="G108" s="493"/>
      <c r="H108" s="493"/>
      <c r="I108" s="493"/>
      <c r="J108" s="493"/>
      <c r="K108" s="493"/>
      <c r="L108" s="493"/>
      <c r="M108" s="493"/>
    </row>
    <row r="109" spans="1:48" s="88" customFormat="1" ht="24.75" customHeight="1">
      <c r="A109" s="89" t="s">
        <v>1228</v>
      </c>
      <c r="B109" s="493" t="s">
        <v>2721</v>
      </c>
      <c r="C109" s="493"/>
      <c r="D109" s="493"/>
      <c r="E109" s="493"/>
      <c r="F109" s="493"/>
      <c r="G109" s="493"/>
      <c r="H109" s="493"/>
      <c r="I109" s="493"/>
      <c r="J109" s="493"/>
      <c r="K109" s="493"/>
      <c r="L109" s="493"/>
      <c r="M109" s="493"/>
    </row>
    <row r="110" spans="1:48" ht="16.5" customHeight="1">
      <c r="A110" s="89" t="s">
        <v>1229</v>
      </c>
      <c r="B110" s="493" t="s">
        <v>2722</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11" s="93" customFormat="1" ht="16.5" customHeight="1">
      <c r="A113" s="94" t="s">
        <v>1232</v>
      </c>
      <c r="B113" s="93" t="s">
        <v>1773</v>
      </c>
    </row>
    <row r="114" spans="1:11" ht="16.5" customHeight="1"/>
    <row r="115" spans="1:11" ht="16.5" customHeight="1">
      <c r="B115" s="518" t="s">
        <v>1932</v>
      </c>
      <c r="C115" s="518"/>
      <c r="D115" s="518"/>
      <c r="E115" s="93"/>
      <c r="F115" s="93"/>
      <c r="G115" s="93"/>
      <c r="H115" s="170"/>
      <c r="I115" s="274" t="s">
        <v>1607</v>
      </c>
      <c r="J115" s="275" t="s">
        <v>1618</v>
      </c>
      <c r="K115" s="93"/>
    </row>
    <row r="116" spans="1:11" ht="16.5" customHeight="1">
      <c r="B116" s="95" t="s">
        <v>1246</v>
      </c>
      <c r="C116" s="96" t="s">
        <v>1607</v>
      </c>
      <c r="D116" s="97" t="s">
        <v>1968</v>
      </c>
      <c r="E116" s="93"/>
      <c r="F116" s="93"/>
      <c r="G116" s="93"/>
      <c r="H116" s="93"/>
      <c r="I116" s="276" t="s">
        <v>1968</v>
      </c>
      <c r="J116" s="277">
        <v>25</v>
      </c>
      <c r="K116" s="93"/>
    </row>
    <row r="117" spans="1:11" ht="16.5" customHeight="1">
      <c r="B117" s="111" t="s">
        <v>1375</v>
      </c>
      <c r="C117" s="100"/>
      <c r="D117" s="101"/>
      <c r="E117" s="278" t="s">
        <v>2708</v>
      </c>
      <c r="F117" s="104" t="s">
        <v>1238</v>
      </c>
      <c r="G117" s="93"/>
      <c r="H117" s="170"/>
      <c r="I117" s="278" t="s">
        <v>2709</v>
      </c>
      <c r="J117" s="104" t="s">
        <v>1238</v>
      </c>
      <c r="K117" s="93"/>
    </row>
    <row r="118" spans="1:11" ht="16.5" customHeight="1">
      <c r="B118" s="111" t="s">
        <v>1843</v>
      </c>
      <c r="C118" s="216" t="s">
        <v>1618</v>
      </c>
      <c r="D118" s="101">
        <v>23</v>
      </c>
      <c r="E118" s="93" t="b">
        <f>OR(C118="女",D118&gt;25)</f>
        <v>1</v>
      </c>
      <c r="F118" s="108" t="s">
        <v>2723</v>
      </c>
      <c r="G118" s="93"/>
      <c r="H118" s="93"/>
      <c r="I118" s="93" t="b">
        <f>OR(C118=$J$115,D118&gt;$J$116)</f>
        <v>1</v>
      </c>
      <c r="J118" s="108" t="s">
        <v>2724</v>
      </c>
      <c r="K118" s="93"/>
    </row>
    <row r="119" spans="1:11" ht="16.5" customHeight="1">
      <c r="B119" s="111" t="s">
        <v>1845</v>
      </c>
      <c r="C119" s="216" t="s">
        <v>1618</v>
      </c>
      <c r="D119" s="101">
        <v>19</v>
      </c>
      <c r="E119" s="93" t="b">
        <f t="shared" ref="E119:E127" si="3">OR(C119="女",D119&gt;25)</f>
        <v>1</v>
      </c>
      <c r="F119" s="158"/>
      <c r="G119" s="93"/>
      <c r="H119" s="93"/>
      <c r="I119" s="93" t="b">
        <f t="shared" ref="I119:I127" si="4">OR(C119=$J$115,D119&gt;$J$116)</f>
        <v>1</v>
      </c>
      <c r="J119" s="158"/>
      <c r="K119" s="93"/>
    </row>
    <row r="120" spans="1:11" ht="16.5" customHeight="1">
      <c r="B120" s="111" t="s">
        <v>1847</v>
      </c>
      <c r="C120" s="216" t="s">
        <v>1618</v>
      </c>
      <c r="D120" s="101">
        <v>28</v>
      </c>
      <c r="E120" s="93" t="b">
        <f t="shared" si="3"/>
        <v>1</v>
      </c>
      <c r="F120" s="158"/>
      <c r="G120" s="93"/>
      <c r="H120" s="93"/>
      <c r="I120" s="93" t="b">
        <f t="shared" si="4"/>
        <v>1</v>
      </c>
      <c r="J120" s="158"/>
      <c r="K120" s="93"/>
    </row>
    <row r="121" spans="1:11" ht="16.5" customHeight="1">
      <c r="B121" s="111" t="s">
        <v>1848</v>
      </c>
      <c r="C121" s="216" t="s">
        <v>1618</v>
      </c>
      <c r="D121" s="101">
        <v>29</v>
      </c>
      <c r="E121" s="93" t="b">
        <f t="shared" si="3"/>
        <v>1</v>
      </c>
      <c r="F121" s="158"/>
      <c r="G121" s="93"/>
      <c r="H121" s="170"/>
      <c r="I121" s="93" t="b">
        <f t="shared" si="4"/>
        <v>1</v>
      </c>
      <c r="J121" s="158"/>
      <c r="K121" s="93"/>
    </row>
    <row r="122" spans="1:11" ht="16.5" customHeight="1">
      <c r="B122" s="111" t="s">
        <v>1849</v>
      </c>
      <c r="C122" s="216" t="s">
        <v>1618</v>
      </c>
      <c r="D122" s="101">
        <v>25</v>
      </c>
      <c r="E122" s="93" t="b">
        <f t="shared" si="3"/>
        <v>1</v>
      </c>
      <c r="F122" s="158"/>
      <c r="G122" s="93"/>
      <c r="H122" s="161"/>
      <c r="I122" s="93" t="b">
        <f t="shared" si="4"/>
        <v>1</v>
      </c>
      <c r="J122" s="158"/>
      <c r="K122" s="93"/>
    </row>
    <row r="123" spans="1:11" ht="16.5" customHeight="1">
      <c r="B123" s="111" t="s">
        <v>1850</v>
      </c>
      <c r="C123" s="216" t="s">
        <v>1618</v>
      </c>
      <c r="D123" s="101">
        <v>30</v>
      </c>
      <c r="E123" s="93" t="b">
        <f t="shared" si="3"/>
        <v>1</v>
      </c>
      <c r="F123" s="158"/>
      <c r="G123" s="93"/>
      <c r="H123" s="263"/>
      <c r="I123" s="93" t="b">
        <f t="shared" si="4"/>
        <v>1</v>
      </c>
      <c r="J123" s="158"/>
      <c r="K123" s="93"/>
    </row>
    <row r="124" spans="1:11" ht="16.5" customHeight="1">
      <c r="B124" s="111" t="s">
        <v>1851</v>
      </c>
      <c r="C124" s="216" t="s">
        <v>1612</v>
      </c>
      <c r="D124" s="101">
        <v>24</v>
      </c>
      <c r="E124" s="93" t="b">
        <f t="shared" si="3"/>
        <v>0</v>
      </c>
      <c r="F124" s="158"/>
      <c r="G124" s="93"/>
      <c r="H124" s="161"/>
      <c r="I124" s="93" t="b">
        <f t="shared" si="4"/>
        <v>0</v>
      </c>
      <c r="J124" s="158"/>
      <c r="K124" s="93"/>
    </row>
    <row r="125" spans="1:11" ht="16.5" customHeight="1">
      <c r="B125" s="111" t="s">
        <v>1852</v>
      </c>
      <c r="C125" s="216" t="s">
        <v>1612</v>
      </c>
      <c r="D125" s="101">
        <v>22</v>
      </c>
      <c r="E125" s="93" t="b">
        <f t="shared" si="3"/>
        <v>0</v>
      </c>
      <c r="F125" s="158"/>
      <c r="G125" s="93"/>
      <c r="H125" s="161"/>
      <c r="I125" s="93" t="b">
        <f t="shared" si="4"/>
        <v>0</v>
      </c>
      <c r="J125" s="158"/>
      <c r="K125" s="93"/>
    </row>
    <row r="126" spans="1:11" ht="16.5" customHeight="1">
      <c r="B126" s="111" t="s">
        <v>1853</v>
      </c>
      <c r="C126" s="216" t="s">
        <v>1618</v>
      </c>
      <c r="D126" s="101">
        <v>23</v>
      </c>
      <c r="E126" s="93" t="b">
        <f t="shared" si="3"/>
        <v>1</v>
      </c>
      <c r="F126" s="158"/>
      <c r="G126" s="93"/>
      <c r="H126" s="93"/>
      <c r="I126" s="93" t="b">
        <f t="shared" si="4"/>
        <v>1</v>
      </c>
      <c r="J126" s="158"/>
      <c r="K126" s="93"/>
    </row>
    <row r="127" spans="1:11" ht="16.5" customHeight="1">
      <c r="B127" s="111" t="s">
        <v>1854</v>
      </c>
      <c r="C127" s="216" t="s">
        <v>1618</v>
      </c>
      <c r="D127" s="101">
        <v>26</v>
      </c>
      <c r="E127" s="93" t="b">
        <f t="shared" si="3"/>
        <v>1</v>
      </c>
      <c r="F127" s="158"/>
      <c r="G127" s="93"/>
      <c r="H127" s="170"/>
      <c r="I127" s="93" t="b">
        <f t="shared" si="4"/>
        <v>1</v>
      </c>
      <c r="J127" s="158"/>
      <c r="K127" s="93"/>
    </row>
    <row r="128" spans="1:11" ht="16.5" customHeight="1">
      <c r="B128" s="151" t="s">
        <v>1375</v>
      </c>
      <c r="C128" s="106"/>
      <c r="D128" s="107"/>
      <c r="E128" s="93"/>
      <c r="F128" s="93"/>
      <c r="G128" s="93"/>
      <c r="H128" s="93"/>
      <c r="I128" s="93"/>
      <c r="J128" s="93"/>
      <c r="K128" s="93"/>
    </row>
    <row r="129" spans="1:6" ht="16.5" customHeight="1"/>
    <row r="130" spans="1:6" ht="16.5" customHeight="1"/>
    <row r="131" spans="1:6" ht="16.5" customHeight="1">
      <c r="A131" s="94" t="s">
        <v>1244</v>
      </c>
      <c r="B131" s="93" t="s">
        <v>2725</v>
      </c>
      <c r="C131" s="93"/>
      <c r="D131" s="93"/>
      <c r="E131" s="93"/>
      <c r="F131" s="93"/>
    </row>
    <row r="132" spans="1:6" ht="16.5" customHeight="1">
      <c r="A132" s="94"/>
      <c r="B132" s="93"/>
      <c r="C132" s="93"/>
      <c r="D132" s="93"/>
      <c r="E132" s="93"/>
      <c r="F132" s="93"/>
    </row>
    <row r="133" spans="1:6" ht="16.5" customHeight="1">
      <c r="A133" s="93"/>
      <c r="B133" s="518" t="s">
        <v>2713</v>
      </c>
      <c r="C133" s="518"/>
      <c r="D133" s="518"/>
      <c r="E133" s="93"/>
      <c r="F133" s="93"/>
    </row>
    <row r="134" spans="1:6" ht="16.5" customHeight="1">
      <c r="A134" s="93"/>
      <c r="B134" s="95" t="s">
        <v>1246</v>
      </c>
      <c r="C134" s="96" t="s">
        <v>2726</v>
      </c>
      <c r="D134" s="97" t="s">
        <v>2727</v>
      </c>
      <c r="E134" s="93"/>
      <c r="F134" s="93"/>
    </row>
    <row r="135" spans="1:6" ht="16.5" customHeight="1">
      <c r="A135" s="93"/>
      <c r="B135" s="111" t="s">
        <v>1375</v>
      </c>
      <c r="C135" s="100"/>
      <c r="D135" s="101"/>
      <c r="E135" s="93"/>
      <c r="F135" s="104" t="s">
        <v>1238</v>
      </c>
    </row>
    <row r="136" spans="1:6" ht="16.5" customHeight="1">
      <c r="A136" s="93"/>
      <c r="B136" s="111" t="s">
        <v>1843</v>
      </c>
      <c r="C136" s="100">
        <v>86</v>
      </c>
      <c r="D136" s="101">
        <v>92</v>
      </c>
      <c r="E136" s="94" t="str">
        <f>IF(OR(C136&gt;80,D136&gt;80),"合格","不合格")</f>
        <v>合格</v>
      </c>
      <c r="F136" s="108" t="s">
        <v>2728</v>
      </c>
    </row>
    <row r="137" spans="1:6" ht="16.5" customHeight="1">
      <c r="A137" s="93"/>
      <c r="B137" s="111" t="s">
        <v>1845</v>
      </c>
      <c r="C137" s="100">
        <v>92</v>
      </c>
      <c r="D137" s="101">
        <v>95</v>
      </c>
      <c r="E137" s="94" t="str">
        <f t="shared" ref="E137:E145" si="5">IF(OR(C137&gt;80,D137&gt;80),"合格","不合格")</f>
        <v>合格</v>
      </c>
      <c r="F137" s="93"/>
    </row>
    <row r="138" spans="1:6" ht="16.5" customHeight="1">
      <c r="A138" s="93"/>
      <c r="B138" s="111" t="s">
        <v>1847</v>
      </c>
      <c r="C138" s="100">
        <v>65</v>
      </c>
      <c r="D138" s="101">
        <v>78</v>
      </c>
      <c r="E138" s="94" t="str">
        <f t="shared" si="5"/>
        <v>不合格</v>
      </c>
      <c r="F138" s="93"/>
    </row>
    <row r="139" spans="1:6" ht="16.5" customHeight="1">
      <c r="A139" s="93"/>
      <c r="B139" s="111" t="s">
        <v>1848</v>
      </c>
      <c r="C139" s="100">
        <v>83</v>
      </c>
      <c r="D139" s="101">
        <v>86</v>
      </c>
      <c r="E139" s="94" t="str">
        <f t="shared" si="5"/>
        <v>合格</v>
      </c>
    </row>
    <row r="140" spans="1:6" ht="16.5" customHeight="1">
      <c r="A140" s="93"/>
      <c r="B140" s="111" t="s">
        <v>1849</v>
      </c>
      <c r="C140" s="100">
        <v>92</v>
      </c>
      <c r="D140" s="101">
        <v>93</v>
      </c>
      <c r="E140" s="94" t="str">
        <f t="shared" si="5"/>
        <v>合格</v>
      </c>
    </row>
    <row r="141" spans="1:6" ht="16.5" customHeight="1">
      <c r="A141" s="93"/>
      <c r="B141" s="111" t="s">
        <v>1850</v>
      </c>
      <c r="C141" s="100">
        <v>78</v>
      </c>
      <c r="D141" s="101">
        <v>82</v>
      </c>
      <c r="E141" s="94" t="str">
        <f t="shared" si="5"/>
        <v>合格</v>
      </c>
    </row>
    <row r="142" spans="1:6" ht="16.5" customHeight="1">
      <c r="A142" s="93"/>
      <c r="B142" s="111" t="s">
        <v>1851</v>
      </c>
      <c r="C142" s="100">
        <v>96</v>
      </c>
      <c r="D142" s="101">
        <v>98</v>
      </c>
      <c r="E142" s="94" t="str">
        <f t="shared" si="5"/>
        <v>合格</v>
      </c>
    </row>
    <row r="143" spans="1:6" ht="16.5" customHeight="1">
      <c r="A143" s="93"/>
      <c r="B143" s="111" t="s">
        <v>1852</v>
      </c>
      <c r="C143" s="100">
        <v>94</v>
      </c>
      <c r="D143" s="101">
        <v>93</v>
      </c>
      <c r="E143" s="94" t="str">
        <f t="shared" si="5"/>
        <v>合格</v>
      </c>
    </row>
    <row r="144" spans="1:6" ht="16.5" customHeight="1">
      <c r="A144" s="93"/>
      <c r="B144" s="111" t="s">
        <v>1853</v>
      </c>
      <c r="C144" s="100">
        <v>89</v>
      </c>
      <c r="D144" s="101">
        <v>83</v>
      </c>
      <c r="E144" s="94" t="str">
        <f t="shared" si="5"/>
        <v>合格</v>
      </c>
    </row>
    <row r="145" spans="1:5" ht="16.5" customHeight="1">
      <c r="A145" s="93"/>
      <c r="B145" s="111" t="s">
        <v>1854</v>
      </c>
      <c r="C145" s="100">
        <v>84</v>
      </c>
      <c r="D145" s="101">
        <v>80</v>
      </c>
      <c r="E145" s="94" t="str">
        <f t="shared" si="5"/>
        <v>合格</v>
      </c>
    </row>
    <row r="146" spans="1:5" ht="16.5" customHeight="1">
      <c r="A146" s="93"/>
      <c r="B146" s="151" t="s">
        <v>1375</v>
      </c>
      <c r="C146" s="106"/>
      <c r="D146" s="107"/>
    </row>
    <row r="147" spans="1:5" ht="16.5" customHeight="1">
      <c r="A147" s="93"/>
      <c r="B147" s="94"/>
      <c r="C147" s="94"/>
      <c r="D147" s="93"/>
    </row>
    <row r="148" spans="1:5" ht="16.5" customHeight="1">
      <c r="A148" s="93"/>
      <c r="B148" s="94"/>
      <c r="C148" s="94"/>
      <c r="D148" s="93"/>
    </row>
    <row r="149" spans="1:5" ht="16.5" customHeight="1">
      <c r="A149" s="93"/>
      <c r="B149" s="94"/>
      <c r="C149" s="94"/>
      <c r="D149" s="93"/>
    </row>
    <row r="150" spans="1:5" ht="16.5" customHeight="1">
      <c r="A150" s="93"/>
      <c r="B150" s="94"/>
      <c r="C150" s="94"/>
      <c r="D150" s="93"/>
    </row>
    <row r="151" spans="1:5" ht="16.5" customHeight="1">
      <c r="A151" s="93"/>
      <c r="B151" s="94"/>
      <c r="C151" s="94"/>
      <c r="D151" s="93"/>
    </row>
    <row r="152" spans="1:5" ht="16.5" customHeight="1">
      <c r="A152" s="93"/>
      <c r="B152" s="94"/>
      <c r="C152" s="94"/>
      <c r="D152" s="93"/>
    </row>
    <row r="153" spans="1:5" ht="16.5" customHeight="1">
      <c r="A153" s="93"/>
      <c r="B153" s="94"/>
      <c r="C153" s="94"/>
      <c r="D153" s="93"/>
    </row>
    <row r="154" spans="1:5" ht="16.5" customHeight="1">
      <c r="A154" s="93"/>
      <c r="B154" s="94"/>
      <c r="C154" s="94"/>
      <c r="D154" s="93"/>
    </row>
    <row r="155" spans="1:5" ht="16.5" customHeight="1">
      <c r="A155" s="93"/>
      <c r="B155" s="94"/>
      <c r="C155" s="94"/>
      <c r="D155" s="93"/>
    </row>
    <row r="156" spans="1:5" ht="16.5" customHeight="1">
      <c r="A156" s="93"/>
      <c r="B156" s="94"/>
      <c r="C156" s="94"/>
      <c r="D156" s="93"/>
    </row>
    <row r="157" spans="1:5" ht="16.5" customHeight="1">
      <c r="A157" s="93"/>
      <c r="B157" s="94"/>
      <c r="C157" s="94"/>
      <c r="D157" s="93"/>
    </row>
    <row r="158" spans="1:5" ht="16.5" customHeight="1">
      <c r="A158" s="93"/>
      <c r="B158" s="94"/>
      <c r="C158" s="94"/>
      <c r="D158" s="93"/>
    </row>
    <row r="159" spans="1:5" ht="16.5" customHeight="1">
      <c r="A159" s="93"/>
      <c r="B159" s="94"/>
      <c r="C159" s="94"/>
      <c r="D159" s="93"/>
    </row>
    <row r="160" spans="1:5" ht="16.5" customHeight="1">
      <c r="A160" s="93"/>
      <c r="B160" s="94"/>
      <c r="C160" s="94"/>
      <c r="D160" s="93"/>
    </row>
    <row r="161" spans="1:4" ht="16.5" customHeight="1">
      <c r="A161" s="93"/>
      <c r="B161" s="94"/>
      <c r="C161" s="94"/>
      <c r="D161" s="93"/>
    </row>
    <row r="162" spans="1:4" ht="16.5" customHeight="1">
      <c r="A162" s="93"/>
      <c r="B162" s="94"/>
      <c r="C162" s="94"/>
      <c r="D162" s="93"/>
    </row>
    <row r="163" spans="1:4" ht="16.5" customHeight="1">
      <c r="A163" s="93"/>
      <c r="B163" s="94"/>
      <c r="C163" s="94"/>
      <c r="D163" s="93"/>
    </row>
    <row r="164" spans="1:4" ht="16.5" customHeight="1">
      <c r="A164" s="93"/>
      <c r="B164" s="94"/>
      <c r="C164" s="94"/>
      <c r="D164" s="93"/>
    </row>
    <row r="165" spans="1:4" ht="16.5" customHeight="1">
      <c r="A165" s="93"/>
      <c r="B165" s="94"/>
      <c r="C165" s="94"/>
      <c r="D165" s="93"/>
    </row>
    <row r="166" spans="1:4" ht="16.5" customHeight="1">
      <c r="A166" s="93"/>
      <c r="B166" s="94"/>
      <c r="C166" s="94"/>
      <c r="D166" s="93"/>
    </row>
    <row r="167" spans="1:4" ht="16.5" customHeight="1">
      <c r="A167" s="93"/>
      <c r="B167" s="94"/>
      <c r="C167" s="94"/>
      <c r="D167" s="93"/>
    </row>
    <row r="168" spans="1:4" ht="16.5" customHeight="1">
      <c r="A168" s="93"/>
      <c r="B168" s="94"/>
      <c r="C168" s="94"/>
      <c r="D168" s="93"/>
    </row>
    <row r="169" spans="1:4" ht="16.5" customHeight="1">
      <c r="A169" s="93"/>
      <c r="B169" s="94"/>
      <c r="C169" s="94"/>
      <c r="D169" s="93"/>
    </row>
    <row r="170" spans="1:4" ht="16.5" customHeight="1">
      <c r="A170" s="93"/>
      <c r="B170" s="94"/>
      <c r="C170" s="94"/>
      <c r="D170" s="93"/>
    </row>
    <row r="171" spans="1:4" ht="16.5" customHeight="1">
      <c r="A171" s="93"/>
      <c r="B171" s="94"/>
      <c r="C171" s="94"/>
      <c r="D171" s="93"/>
    </row>
    <row r="172" spans="1:4" ht="16.5" customHeight="1">
      <c r="A172" s="93"/>
      <c r="B172" s="94"/>
      <c r="C172" s="94"/>
      <c r="D172" s="93"/>
    </row>
    <row r="173" spans="1:4" ht="16.5" customHeight="1">
      <c r="A173" s="93"/>
      <c r="B173" s="94"/>
      <c r="C173" s="94"/>
      <c r="D173" s="93"/>
    </row>
    <row r="174" spans="1:4" ht="16.5" customHeight="1">
      <c r="A174" s="93"/>
      <c r="B174" s="94"/>
      <c r="C174" s="94"/>
      <c r="D174" s="93"/>
    </row>
    <row r="175" spans="1:4" ht="16.5" customHeight="1">
      <c r="A175" s="93"/>
      <c r="B175" s="94"/>
      <c r="C175" s="94"/>
      <c r="D175" s="93"/>
    </row>
    <row r="176" spans="1:4" ht="16.5" customHeight="1">
      <c r="A176" s="93"/>
      <c r="B176" s="94"/>
      <c r="C176" s="94"/>
      <c r="D176" s="93"/>
    </row>
    <row r="177" spans="1:4" ht="16.5" customHeight="1">
      <c r="A177" s="93"/>
      <c r="B177" s="94"/>
      <c r="C177" s="94"/>
      <c r="D177" s="93"/>
    </row>
    <row r="178" spans="1:4" ht="16.5" customHeight="1">
      <c r="A178" s="93"/>
      <c r="B178" s="94"/>
      <c r="C178" s="94"/>
      <c r="D178" s="93"/>
    </row>
    <row r="179" spans="1:4" ht="16.5" customHeight="1">
      <c r="A179" s="93"/>
      <c r="B179" s="94"/>
      <c r="C179" s="94"/>
      <c r="D179" s="93"/>
    </row>
    <row r="180" spans="1:4" ht="16.5" customHeight="1">
      <c r="A180" s="93"/>
      <c r="B180" s="94"/>
      <c r="C180" s="94"/>
      <c r="D180" s="93"/>
    </row>
    <row r="181" spans="1:4" ht="16.5" customHeight="1">
      <c r="A181" s="93"/>
      <c r="B181" s="94"/>
      <c r="C181" s="94"/>
      <c r="D181" s="93"/>
    </row>
    <row r="182" spans="1:4" ht="16.5" customHeight="1">
      <c r="A182" s="93"/>
      <c r="B182" s="94"/>
      <c r="C182" s="94"/>
      <c r="D182" s="93"/>
    </row>
    <row r="183" spans="1:4" ht="16.5" customHeight="1">
      <c r="A183" s="93"/>
      <c r="B183" s="94"/>
      <c r="C183" s="94"/>
      <c r="D183" s="93"/>
    </row>
    <row r="184" spans="1:4" ht="16.5" customHeight="1">
      <c r="A184" s="93"/>
      <c r="B184" s="94"/>
      <c r="C184" s="94"/>
      <c r="D184" s="93"/>
    </row>
    <row r="185" spans="1:4" ht="16.5" customHeight="1">
      <c r="A185" s="93"/>
      <c r="B185" s="94"/>
      <c r="C185" s="94"/>
      <c r="D185" s="93"/>
    </row>
    <row r="186" spans="1:4" ht="16.5" customHeight="1">
      <c r="A186" s="93"/>
      <c r="B186" s="94"/>
      <c r="C186" s="94"/>
      <c r="D186" s="93"/>
    </row>
    <row r="187" spans="1:4" ht="16.5" customHeight="1">
      <c r="A187" s="93"/>
      <c r="B187" s="94"/>
      <c r="C187" s="94"/>
      <c r="D187" s="93"/>
    </row>
    <row r="188" spans="1:4" ht="16.5" customHeight="1">
      <c r="A188" s="93"/>
      <c r="B188" s="94"/>
      <c r="C188" s="94"/>
      <c r="D188" s="93"/>
    </row>
    <row r="189" spans="1:4" ht="16.5" customHeight="1">
      <c r="A189" s="93"/>
      <c r="B189" s="94"/>
      <c r="C189" s="94"/>
      <c r="D189" s="93"/>
    </row>
    <row r="190" spans="1:4" ht="16.5" customHeight="1">
      <c r="A190" s="93"/>
      <c r="B190" s="94"/>
      <c r="C190" s="94"/>
      <c r="D190" s="93"/>
    </row>
    <row r="191" spans="1:4" ht="16.5" customHeight="1">
      <c r="A191" s="93"/>
      <c r="B191" s="94"/>
      <c r="C191" s="94"/>
      <c r="D191" s="93"/>
    </row>
    <row r="192" spans="1:4" ht="16.5" customHeight="1">
      <c r="A192" s="93"/>
      <c r="B192" s="94"/>
      <c r="C192" s="94"/>
      <c r="D192" s="93"/>
    </row>
    <row r="193" spans="1:13" ht="16.5" customHeight="1">
      <c r="A193" s="93"/>
      <c r="B193" s="94"/>
      <c r="C193" s="94"/>
      <c r="D193" s="93"/>
    </row>
    <row r="194" spans="1:13" ht="16.5" customHeight="1">
      <c r="A194" s="93"/>
      <c r="B194" s="94"/>
      <c r="C194" s="94"/>
      <c r="D194" s="93"/>
    </row>
    <row r="195" spans="1:13" ht="16.5" customHeight="1">
      <c r="A195" s="93"/>
      <c r="B195" s="94"/>
      <c r="C195" s="94"/>
      <c r="D195" s="93"/>
    </row>
    <row r="196" spans="1:13" ht="16.5" customHeight="1">
      <c r="A196" s="93"/>
      <c r="B196" s="94"/>
      <c r="C196" s="94"/>
      <c r="D196" s="93"/>
    </row>
    <row r="197" spans="1:13" ht="16.5" customHeight="1">
      <c r="A197" s="93"/>
      <c r="B197" s="94"/>
      <c r="C197" s="94"/>
      <c r="D197" s="93"/>
    </row>
    <row r="198" spans="1:13" ht="16.5" customHeight="1">
      <c r="A198" s="93"/>
      <c r="B198" s="94"/>
      <c r="C198" s="94"/>
      <c r="D198" s="93"/>
    </row>
    <row r="199" spans="1:13" ht="16.5" customHeight="1">
      <c r="A199" s="93"/>
      <c r="B199" s="94"/>
      <c r="C199" s="94"/>
      <c r="D199" s="93"/>
    </row>
    <row r="200" spans="1:13" s="88" customFormat="1" ht="26.25" customHeight="1">
      <c r="A200" s="498" t="s">
        <v>253</v>
      </c>
      <c r="B200" s="498"/>
      <c r="C200" s="499"/>
      <c r="D200" s="87"/>
      <c r="E200" s="500" t="str">
        <f>HYPERLINK("#目录!A142","跳转回到目录页")</f>
        <v>跳转回到目录页</v>
      </c>
      <c r="F200" s="501"/>
    </row>
    <row r="201" spans="1:13" s="88" customFormat="1" ht="26.25" customHeight="1">
      <c r="A201" s="502" t="s">
        <v>1216</v>
      </c>
      <c r="B201" s="502"/>
      <c r="C201" s="503" t="s">
        <v>254</v>
      </c>
      <c r="D201" s="503"/>
      <c r="E201" s="503"/>
      <c r="F201" s="503"/>
      <c r="G201" s="503"/>
      <c r="H201" s="503"/>
      <c r="I201" s="503"/>
      <c r="J201" s="503"/>
      <c r="K201" s="503"/>
      <c r="L201" s="503"/>
      <c r="M201" s="503"/>
    </row>
    <row r="202" spans="1:13" s="88" customFormat="1" ht="16.5" customHeight="1">
      <c r="A202" s="496" t="s">
        <v>1217</v>
      </c>
      <c r="B202" s="496"/>
      <c r="C202" s="493" t="s">
        <v>2729</v>
      </c>
      <c r="D202" s="493"/>
      <c r="E202" s="493"/>
      <c r="F202" s="493"/>
      <c r="G202" s="493"/>
      <c r="H202" s="493"/>
      <c r="I202" s="493"/>
      <c r="J202" s="493"/>
      <c r="K202" s="493"/>
      <c r="L202" s="493"/>
      <c r="M202" s="493"/>
    </row>
    <row r="203" spans="1:13" s="88" customFormat="1" ht="16.5" customHeight="1">
      <c r="A203" s="496" t="s">
        <v>5786</v>
      </c>
      <c r="B203" s="496"/>
      <c r="C203" s="497" t="s">
        <v>5932</v>
      </c>
      <c r="D203" s="497"/>
      <c r="E203" s="497"/>
      <c r="F203" s="497"/>
      <c r="G203" s="497"/>
      <c r="H203" s="497"/>
      <c r="I203" s="497"/>
      <c r="J203" s="497"/>
      <c r="K203" s="497"/>
      <c r="L203" s="497"/>
      <c r="M203" s="497"/>
    </row>
    <row r="204" spans="1:13" s="88" customFormat="1" ht="16.5" customHeight="1">
      <c r="A204" s="496" t="s">
        <v>1220</v>
      </c>
      <c r="B204" s="496"/>
      <c r="C204" s="493" t="s">
        <v>2730</v>
      </c>
      <c r="D204" s="493"/>
      <c r="E204" s="493"/>
      <c r="F204" s="493"/>
      <c r="G204" s="493"/>
      <c r="H204" s="493"/>
      <c r="I204" s="493"/>
      <c r="J204" s="493"/>
      <c r="K204" s="493"/>
      <c r="L204" s="493"/>
      <c r="M204" s="493"/>
    </row>
    <row r="205" spans="1:13" s="88" customFormat="1" ht="16.5" customHeight="1">
      <c r="A205" s="496" t="s">
        <v>5785</v>
      </c>
      <c r="B205" s="496"/>
      <c r="C205" s="493" t="s">
        <v>2731</v>
      </c>
      <c r="D205" s="493"/>
      <c r="E205" s="493"/>
      <c r="F205" s="493"/>
      <c r="G205" s="493"/>
      <c r="H205" s="493"/>
      <c r="I205" s="493"/>
      <c r="J205" s="493"/>
      <c r="K205" s="493"/>
      <c r="L205" s="493"/>
      <c r="M205" s="493"/>
    </row>
    <row r="206" spans="1:13" s="88" customFormat="1" ht="16.5" customHeight="1">
      <c r="A206" s="89" t="s">
        <v>1223</v>
      </c>
      <c r="B206" s="92" t="s">
        <v>2732</v>
      </c>
      <c r="C206" s="493" t="s">
        <v>2733</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493" t="s">
        <v>2734</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A214" s="93"/>
      <c r="B214" s="93"/>
      <c r="C214" s="93"/>
      <c r="D214" s="93"/>
      <c r="E214" s="93"/>
      <c r="F214" s="93"/>
      <c r="G214" s="93"/>
      <c r="H214" s="93"/>
      <c r="I214" s="93"/>
      <c r="J214" s="93"/>
      <c r="K214" s="93"/>
      <c r="L214" s="93"/>
    </row>
    <row r="215" spans="1:13" ht="16.5" customHeight="1">
      <c r="A215" s="93"/>
      <c r="B215" s="518" t="s">
        <v>2713</v>
      </c>
      <c r="C215" s="518"/>
      <c r="D215" s="518"/>
      <c r="E215" s="93"/>
      <c r="F215" s="93"/>
      <c r="G215" s="93"/>
      <c r="H215" s="93"/>
      <c r="I215" s="93"/>
      <c r="J215" s="93"/>
      <c r="K215" s="93"/>
      <c r="L215" s="93"/>
    </row>
    <row r="216" spans="1:13" ht="16.5" customHeight="1">
      <c r="A216" s="93"/>
      <c r="B216" s="95" t="s">
        <v>1246</v>
      </c>
      <c r="C216" s="96" t="s">
        <v>1607</v>
      </c>
      <c r="D216" s="97" t="s">
        <v>2735</v>
      </c>
      <c r="E216" s="93"/>
      <c r="F216" s="93"/>
      <c r="G216" s="93"/>
      <c r="H216" s="93"/>
      <c r="I216" s="93"/>
      <c r="J216" s="93"/>
      <c r="K216" s="93"/>
      <c r="L216" s="93"/>
    </row>
    <row r="217" spans="1:13" ht="16.5" customHeight="1">
      <c r="A217" s="93"/>
      <c r="B217" s="111" t="s">
        <v>1375</v>
      </c>
      <c r="C217" s="100"/>
      <c r="D217" s="101"/>
      <c r="E217" s="93"/>
      <c r="F217" s="104" t="s">
        <v>1238</v>
      </c>
      <c r="G217" s="93"/>
      <c r="H217" s="170"/>
      <c r="I217" s="93"/>
      <c r="J217" s="93"/>
      <c r="K217" s="93"/>
      <c r="L217" s="93"/>
    </row>
    <row r="218" spans="1:13" ht="16.5" customHeight="1">
      <c r="A218" s="93"/>
      <c r="B218" s="111" t="s">
        <v>1843</v>
      </c>
      <c r="C218" s="216" t="s">
        <v>1618</v>
      </c>
      <c r="D218" s="101">
        <v>6</v>
      </c>
      <c r="E218" s="93" t="b">
        <f>NOT(D218&gt;3)</f>
        <v>0</v>
      </c>
      <c r="F218" s="108" t="s">
        <v>2736</v>
      </c>
      <c r="G218" s="93"/>
      <c r="H218" s="93"/>
      <c r="I218" s="93"/>
      <c r="J218" s="93"/>
      <c r="K218" s="93"/>
      <c r="L218" s="93"/>
    </row>
    <row r="219" spans="1:13" ht="16.5" customHeight="1">
      <c r="A219" s="93"/>
      <c r="B219" s="111" t="s">
        <v>1845</v>
      </c>
      <c r="C219" s="216" t="s">
        <v>1618</v>
      </c>
      <c r="D219" s="101">
        <v>8</v>
      </c>
      <c r="E219" s="93" t="b">
        <f t="shared" ref="E219:E227" si="6">NOT(D219&gt;3)</f>
        <v>0</v>
      </c>
      <c r="F219" s="93"/>
      <c r="G219" s="93"/>
      <c r="H219" s="170"/>
      <c r="I219" s="93"/>
      <c r="J219" s="93"/>
      <c r="K219" s="93"/>
      <c r="L219" s="93"/>
    </row>
    <row r="220" spans="1:13" ht="16.5" customHeight="1">
      <c r="A220" s="93"/>
      <c r="B220" s="111" t="s">
        <v>1847</v>
      </c>
      <c r="C220" s="216" t="s">
        <v>1618</v>
      </c>
      <c r="D220" s="101">
        <v>3</v>
      </c>
      <c r="E220" s="93" t="b">
        <f t="shared" si="6"/>
        <v>1</v>
      </c>
      <c r="F220" s="93"/>
      <c r="G220" s="93"/>
      <c r="H220" s="93"/>
      <c r="I220" s="93"/>
      <c r="J220" s="93"/>
      <c r="K220" s="93"/>
      <c r="L220" s="93"/>
    </row>
    <row r="221" spans="1:13" ht="16.5" customHeight="1">
      <c r="A221" s="93"/>
      <c r="B221" s="111" t="s">
        <v>1848</v>
      </c>
      <c r="C221" s="216" t="s">
        <v>1618</v>
      </c>
      <c r="D221" s="101">
        <v>9</v>
      </c>
      <c r="E221" s="93" t="b">
        <f t="shared" si="6"/>
        <v>0</v>
      </c>
      <c r="F221" s="93"/>
      <c r="G221" s="93"/>
      <c r="H221" s="93"/>
      <c r="I221" s="93"/>
      <c r="J221" s="93"/>
      <c r="K221" s="93"/>
      <c r="L221" s="93"/>
    </row>
    <row r="222" spans="1:13" ht="16.5" customHeight="1">
      <c r="A222" s="93"/>
      <c r="B222" s="111" t="s">
        <v>1849</v>
      </c>
      <c r="C222" s="216" t="s">
        <v>1618</v>
      </c>
      <c r="D222" s="101">
        <v>2</v>
      </c>
      <c r="E222" s="93" t="b">
        <f t="shared" si="6"/>
        <v>1</v>
      </c>
      <c r="F222" s="93"/>
      <c r="G222" s="93"/>
      <c r="H222" s="93"/>
      <c r="I222" s="93"/>
      <c r="J222" s="93"/>
      <c r="K222" s="93"/>
      <c r="L222" s="93"/>
    </row>
    <row r="223" spans="1:13" ht="16.5" customHeight="1">
      <c r="A223" s="93"/>
      <c r="B223" s="111" t="s">
        <v>1850</v>
      </c>
      <c r="C223" s="216" t="s">
        <v>1618</v>
      </c>
      <c r="D223" s="101">
        <v>5</v>
      </c>
      <c r="E223" s="93" t="b">
        <f t="shared" si="6"/>
        <v>0</v>
      </c>
      <c r="F223" s="93"/>
      <c r="G223" s="93"/>
      <c r="H223" s="170"/>
      <c r="I223" s="93"/>
      <c r="J223" s="93"/>
      <c r="K223" s="93"/>
      <c r="L223" s="93"/>
    </row>
    <row r="224" spans="1:13" ht="16.5" customHeight="1">
      <c r="A224" s="93"/>
      <c r="B224" s="111" t="s">
        <v>1851</v>
      </c>
      <c r="C224" s="216" t="s">
        <v>1612</v>
      </c>
      <c r="D224" s="101">
        <v>6</v>
      </c>
      <c r="E224" s="93" t="b">
        <f t="shared" si="6"/>
        <v>0</v>
      </c>
      <c r="F224" s="93"/>
      <c r="G224" s="93"/>
      <c r="H224" s="93"/>
      <c r="I224" s="93"/>
      <c r="J224" s="93"/>
      <c r="K224" s="93"/>
      <c r="L224" s="93"/>
    </row>
    <row r="225" spans="1:12" ht="16.5" customHeight="1">
      <c r="A225" s="93"/>
      <c r="B225" s="111" t="s">
        <v>1852</v>
      </c>
      <c r="C225" s="216" t="s">
        <v>1612</v>
      </c>
      <c r="D225" s="101">
        <v>4</v>
      </c>
      <c r="E225" s="93" t="b">
        <f t="shared" si="6"/>
        <v>0</v>
      </c>
      <c r="F225" s="93"/>
      <c r="G225" s="93"/>
      <c r="H225" s="93"/>
      <c r="I225" s="93"/>
      <c r="J225" s="93"/>
      <c r="K225" s="93"/>
      <c r="L225" s="93"/>
    </row>
    <row r="226" spans="1:12" ht="16.5" customHeight="1">
      <c r="A226" s="93"/>
      <c r="B226" s="111" t="s">
        <v>1853</v>
      </c>
      <c r="C226" s="216" t="s">
        <v>1618</v>
      </c>
      <c r="D226" s="101">
        <v>3</v>
      </c>
      <c r="E226" s="93" t="b">
        <f t="shared" si="6"/>
        <v>1</v>
      </c>
      <c r="F226" s="93"/>
      <c r="G226" s="93"/>
      <c r="H226" s="93"/>
      <c r="I226" s="93"/>
      <c r="J226" s="93"/>
      <c r="K226" s="93"/>
      <c r="L226" s="93"/>
    </row>
    <row r="227" spans="1:12" ht="16.5" customHeight="1">
      <c r="A227" s="93"/>
      <c r="B227" s="111" t="s">
        <v>1854</v>
      </c>
      <c r="C227" s="216" t="s">
        <v>1618</v>
      </c>
      <c r="D227" s="101">
        <v>6</v>
      </c>
      <c r="E227" s="93" t="b">
        <f t="shared" si="6"/>
        <v>0</v>
      </c>
      <c r="F227" s="93"/>
      <c r="G227" s="93"/>
      <c r="H227" s="93"/>
      <c r="I227" s="93"/>
      <c r="J227" s="93"/>
      <c r="K227" s="93"/>
      <c r="L227" s="93"/>
    </row>
    <row r="228" spans="1:12" ht="16.5" customHeight="1">
      <c r="A228" s="93"/>
      <c r="B228" s="151" t="s">
        <v>1375</v>
      </c>
      <c r="C228" s="106"/>
      <c r="D228" s="107"/>
      <c r="E228" s="93"/>
      <c r="F228" s="93"/>
      <c r="G228" s="93"/>
      <c r="H228" s="93"/>
      <c r="I228" s="93"/>
      <c r="J228" s="93"/>
      <c r="K228" s="93"/>
      <c r="L228" s="93"/>
    </row>
    <row r="229" spans="1:12" ht="16.5" customHeight="1">
      <c r="A229" s="93"/>
      <c r="B229" s="93"/>
      <c r="C229" s="93"/>
      <c r="D229" s="93"/>
      <c r="E229" s="93"/>
      <c r="F229" s="93"/>
      <c r="G229" s="93"/>
      <c r="H229" s="93"/>
      <c r="I229" s="93"/>
      <c r="J229" s="93"/>
      <c r="K229" s="93"/>
      <c r="L229" s="93"/>
    </row>
    <row r="230" spans="1:12" ht="16.5" customHeight="1"/>
    <row r="231" spans="1:12" ht="16.5" customHeight="1"/>
  </sheetData>
  <mergeCells count="57">
    <mergeCell ref="A1:C1"/>
    <mergeCell ref="E1:F1"/>
    <mergeCell ref="A2:B2"/>
    <mergeCell ref="C2:M2"/>
    <mergeCell ref="A3:B3"/>
    <mergeCell ref="C3:M3"/>
    <mergeCell ref="B34:D34"/>
    <mergeCell ref="A4:B4"/>
    <mergeCell ref="C4:M4"/>
    <mergeCell ref="A5:B5"/>
    <mergeCell ref="C5:M5"/>
    <mergeCell ref="A6:B6"/>
    <mergeCell ref="C6:M6"/>
    <mergeCell ref="C9:M9"/>
    <mergeCell ref="B10:M10"/>
    <mergeCell ref="B11:M11"/>
    <mergeCell ref="B12:L12"/>
    <mergeCell ref="B16:D16"/>
    <mergeCell ref="A100:C100"/>
    <mergeCell ref="E100:F100"/>
    <mergeCell ref="A101:B101"/>
    <mergeCell ref="C101:M101"/>
    <mergeCell ref="A102:B102"/>
    <mergeCell ref="C102:M102"/>
    <mergeCell ref="B133:D133"/>
    <mergeCell ref="A103:B103"/>
    <mergeCell ref="C103:M103"/>
    <mergeCell ref="A104:B104"/>
    <mergeCell ref="C104:M104"/>
    <mergeCell ref="A105:B105"/>
    <mergeCell ref="C105:M105"/>
    <mergeCell ref="C108:M108"/>
    <mergeCell ref="B109:M109"/>
    <mergeCell ref="B110:M110"/>
    <mergeCell ref="B111:L111"/>
    <mergeCell ref="B115:D115"/>
    <mergeCell ref="E200:F200"/>
    <mergeCell ref="A201:B201"/>
    <mergeCell ref="C201:M201"/>
    <mergeCell ref="A202:B202"/>
    <mergeCell ref="C202:M202"/>
    <mergeCell ref="B215:D215"/>
    <mergeCell ref="C7:M8"/>
    <mergeCell ref="C106:M107"/>
    <mergeCell ref="C206:M206"/>
    <mergeCell ref="C207:M207"/>
    <mergeCell ref="C208:M208"/>
    <mergeCell ref="B209:M209"/>
    <mergeCell ref="B210:M210"/>
    <mergeCell ref="B211:L211"/>
    <mergeCell ref="A203:B203"/>
    <mergeCell ref="C203:M203"/>
    <mergeCell ref="A204:B204"/>
    <mergeCell ref="C204:M204"/>
    <mergeCell ref="A205:B205"/>
    <mergeCell ref="C205:M205"/>
    <mergeCell ref="A200:C200"/>
  </mergeCells>
  <phoneticPr fontId="2" type="noConversion"/>
  <pageMargins left="0.75" right="0.75" top="1" bottom="1" header="0.5" footer="0.5"/>
  <headerFooter scaleWithDoc="0"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AV117"/>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b">
        <v>1</v>
      </c>
      <c r="B1" s="498"/>
      <c r="C1" s="499"/>
      <c r="D1" s="87"/>
      <c r="E1" s="500" t="str">
        <f>HYPERLINK("#目录!A144","跳转回到目录页")</f>
        <v>跳转回到目录页</v>
      </c>
      <c r="F1" s="501"/>
    </row>
    <row r="2" spans="1:48" s="88" customFormat="1" ht="26.25" customHeight="1">
      <c r="A2" s="502" t="s">
        <v>1216</v>
      </c>
      <c r="B2" s="502"/>
      <c r="C2" s="503" t="s">
        <v>256</v>
      </c>
      <c r="D2" s="503"/>
      <c r="E2" s="503"/>
      <c r="F2" s="503"/>
      <c r="G2" s="503"/>
      <c r="H2" s="503"/>
      <c r="I2" s="503"/>
      <c r="J2" s="503"/>
      <c r="K2" s="503"/>
      <c r="L2" s="503"/>
      <c r="M2" s="503"/>
    </row>
    <row r="3" spans="1:48" s="88" customFormat="1" ht="16.5" customHeight="1">
      <c r="A3" s="496" t="s">
        <v>1217</v>
      </c>
      <c r="B3" s="496"/>
      <c r="C3" s="493" t="s">
        <v>1173</v>
      </c>
      <c r="D3" s="493"/>
      <c r="E3" s="493"/>
      <c r="F3" s="493"/>
      <c r="G3" s="493"/>
      <c r="H3" s="493"/>
      <c r="I3" s="493"/>
      <c r="J3" s="493"/>
      <c r="K3" s="493"/>
      <c r="L3" s="493"/>
      <c r="M3" s="493"/>
    </row>
    <row r="4" spans="1:48" s="88" customFormat="1" ht="16.5" customHeight="1">
      <c r="A4" s="496" t="s">
        <v>5786</v>
      </c>
      <c r="B4" s="496"/>
      <c r="C4" s="497" t="s">
        <v>2737</v>
      </c>
      <c r="D4" s="497"/>
      <c r="E4" s="497"/>
      <c r="F4" s="497"/>
      <c r="G4" s="497"/>
      <c r="H4" s="497"/>
      <c r="I4" s="497"/>
      <c r="J4" s="497"/>
      <c r="K4" s="497"/>
      <c r="L4" s="497"/>
      <c r="M4" s="497"/>
    </row>
    <row r="5" spans="1:48" s="88" customFormat="1" ht="16.5" customHeight="1">
      <c r="A5" s="496" t="s">
        <v>1220</v>
      </c>
      <c r="B5" s="496"/>
      <c r="C5" s="493" t="s">
        <v>2738</v>
      </c>
      <c r="D5" s="493"/>
      <c r="E5" s="493"/>
      <c r="F5" s="493"/>
      <c r="G5" s="493"/>
      <c r="H5" s="493"/>
      <c r="I5" s="493"/>
      <c r="J5" s="493"/>
      <c r="K5" s="493"/>
      <c r="L5" s="493"/>
      <c r="M5" s="493"/>
    </row>
    <row r="6" spans="1:48" s="88" customFormat="1" ht="16.5" customHeight="1">
      <c r="A6" s="496" t="s">
        <v>5785</v>
      </c>
      <c r="B6" s="496"/>
      <c r="C6" s="493" t="s">
        <v>2599</v>
      </c>
      <c r="D6" s="493"/>
      <c r="E6" s="493"/>
      <c r="F6" s="493"/>
      <c r="G6" s="493"/>
      <c r="H6" s="493"/>
      <c r="I6" s="493"/>
      <c r="J6" s="493"/>
      <c r="K6" s="493"/>
      <c r="L6" s="493"/>
      <c r="M6" s="493"/>
    </row>
    <row r="7" spans="1:48" s="88" customFormat="1" ht="16.5" customHeight="1">
      <c r="A7" s="89" t="s">
        <v>1223</v>
      </c>
      <c r="B7" s="92"/>
      <c r="C7" s="493" t="s">
        <v>2599</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2739</v>
      </c>
      <c r="C10" s="493"/>
      <c r="D10" s="493"/>
      <c r="E10" s="493"/>
      <c r="F10" s="493"/>
      <c r="G10" s="493"/>
      <c r="H10" s="493"/>
      <c r="I10" s="493"/>
      <c r="J10" s="493"/>
      <c r="K10" s="493"/>
      <c r="L10" s="493"/>
      <c r="M10" s="493"/>
    </row>
    <row r="11" spans="1:48" ht="24.75" customHeight="1">
      <c r="A11" s="89" t="s">
        <v>1229</v>
      </c>
      <c r="B11" s="493" t="s">
        <v>2740</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4"/>
      <c r="H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C16" s="104" t="s">
        <v>1238</v>
      </c>
      <c r="G16" s="4"/>
      <c r="H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2:48" s="93" customFormat="1" ht="16.5" customHeight="1">
      <c r="B17" s="93" t="b">
        <f>TRUE()</f>
        <v>1</v>
      </c>
      <c r="C17" s="108" t="s">
        <v>2741</v>
      </c>
      <c r="G17" s="4"/>
      <c r="H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2:48" s="93" customFormat="1" ht="16.5" customHeight="1">
      <c r="G18" s="4"/>
      <c r="H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2:48" s="93" customFormat="1" ht="16.5" customHeight="1">
      <c r="G19" s="4"/>
      <c r="H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2:48" s="93" customFormat="1" ht="16.5" customHeight="1">
      <c r="G20" s="4"/>
      <c r="H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2:48" s="93" customFormat="1" ht="16.5" customHeight="1">
      <c r="G21" s="4"/>
      <c r="H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2:48" s="93" customFormat="1" ht="16.5" customHeight="1">
      <c r="G22" s="4"/>
      <c r="H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2:48" s="93" customFormat="1" ht="16.5" customHeight="1">
      <c r="G23" s="4"/>
      <c r="H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2:48" s="93" customFormat="1" ht="16.5" customHeight="1">
      <c r="G24" s="4"/>
      <c r="H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2:48" s="93" customFormat="1" ht="16.5" customHeight="1">
      <c r="G25" s="4"/>
      <c r="H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2:48" s="93" customFormat="1" ht="16.5" customHeight="1">
      <c r="G26" s="4"/>
      <c r="H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2:48" s="93" customFormat="1" ht="16.5" customHeight="1">
      <c r="G27" s="4"/>
      <c r="H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2:48" s="93" customFormat="1" ht="16.5" customHeight="1">
      <c r="G28" s="4"/>
      <c r="H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2:48" s="93" customFormat="1" ht="16.5" customHeight="1">
      <c r="G29" s="4"/>
      <c r="H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2:48" s="93" customFormat="1" ht="16.5" customHeight="1">
      <c r="G30" s="4"/>
      <c r="H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2:48" s="93" customFormat="1" ht="16.5" customHeight="1">
      <c r="G31" s="4"/>
      <c r="H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2:48" s="93" customFormat="1" ht="16.5" customHeight="1">
      <c r="G32" s="4"/>
      <c r="H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7:48" s="93" customFormat="1" ht="16.5" customHeight="1">
      <c r="G33" s="4"/>
      <c r="H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7:48" s="93" customFormat="1" ht="16.5" customHeight="1">
      <c r="G34" s="4"/>
      <c r="H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7:48" s="93" customFormat="1" ht="16.5" customHeight="1">
      <c r="G35" s="4"/>
      <c r="H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7:48" s="93" customFormat="1" ht="16.5" customHeight="1">
      <c r="G36" s="4"/>
      <c r="H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7:48" s="93" customFormat="1" ht="16.5" customHeight="1">
      <c r="G37" s="4"/>
      <c r="H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7:48" s="93" customFormat="1" ht="16.5" customHeight="1">
      <c r="G38" s="4"/>
      <c r="H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7:48" s="93" customFormat="1" ht="16.5" customHeight="1">
      <c r="G39" s="4"/>
      <c r="H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7:48" s="93" customFormat="1" ht="16.5" customHeight="1">
      <c r="G40" s="4"/>
      <c r="H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7:48" s="93" customFormat="1" ht="16.5" customHeight="1">
      <c r="G41" s="4"/>
      <c r="H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7:48" s="93" customFormat="1" ht="16.5" customHeight="1">
      <c r="G42" s="4"/>
      <c r="H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7:48" s="93" customFormat="1" ht="16.5" customHeight="1">
      <c r="G43" s="4"/>
      <c r="H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7:48" s="93" customFormat="1" ht="16.5" customHeight="1">
      <c r="G44" s="4"/>
      <c r="H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7:48" s="93" customFormat="1" ht="16.5" customHeight="1">
      <c r="G45" s="4"/>
      <c r="H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7:48" s="93" customFormat="1" ht="16.5" customHeight="1">
      <c r="G46" s="4"/>
      <c r="H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7:48" s="93" customFormat="1" ht="16.5" customHeight="1">
      <c r="G47" s="4"/>
      <c r="H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7:48" s="93" customFormat="1" ht="16.5" customHeight="1">
      <c r="G48" s="4"/>
      <c r="H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G49" s="4"/>
      <c r="H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s="93" customFormat="1" ht="16.5" customHeight="1">
      <c r="G50" s="4"/>
      <c r="H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48" s="93" customFormat="1" ht="16.5" customHeight="1">
      <c r="G51" s="4"/>
      <c r="H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48" s="93" customFormat="1" ht="16.5" customHeight="1">
      <c r="G52" s="4"/>
      <c r="H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48" s="93" customFormat="1" ht="16.5" customHeight="1">
      <c r="G53" s="4"/>
      <c r="H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48" s="93" customFormat="1" ht="16.5" customHeight="1">
      <c r="A54" s="94"/>
      <c r="G54" s="4"/>
      <c r="H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row>
    <row r="55" spans="1:48" s="93" customFormat="1" ht="16.5" customHeight="1">
      <c r="G55" s="4"/>
      <c r="H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row>
    <row r="56" spans="1:48" s="93" customFormat="1" ht="16.5" customHeight="1">
      <c r="G56" s="4"/>
      <c r="H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row>
    <row r="57" spans="1:48" s="93" customFormat="1" ht="16.5" customHeight="1">
      <c r="G57" s="4"/>
      <c r="H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row>
    <row r="58" spans="1:48" s="93" customFormat="1" ht="16.5" customHeight="1">
      <c r="G58" s="4"/>
      <c r="H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row>
    <row r="59" spans="1:48" s="93" customFormat="1" ht="16.5" customHeight="1">
      <c r="G59" s="4"/>
      <c r="H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row>
    <row r="60" spans="1:48" s="93" customFormat="1" ht="16.5" customHeight="1">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row>
    <row r="61" spans="1:48" s="93" customFormat="1" ht="16.5" customHeight="1">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row>
    <row r="62" spans="1:48" s="93" customFormat="1" ht="16.5" customHeight="1">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row>
    <row r="63" spans="1:48" s="93" customFormat="1" ht="16.5" customHeight="1">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row>
    <row r="64" spans="1:48" s="93" customFormat="1" ht="16.5" customHeight="1">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row>
    <row r="65" spans="1:48" s="93" customFormat="1" ht="16.5" customHeight="1">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row>
    <row r="66" spans="1:48" s="93" customFormat="1" ht="16.5" customHeight="1">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row>
    <row r="67" spans="1:48" s="93" customFormat="1" ht="16.5" customHeight="1">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row>
    <row r="68" spans="1:48" s="93" customFormat="1" ht="16.5" customHeight="1">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row>
    <row r="69" spans="1:48" s="93" customFormat="1" ht="16.5" customHeight="1">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row>
    <row r="70" spans="1:48" s="93" customFormat="1" ht="16.5" customHeight="1">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row>
    <row r="71" spans="1:48" s="93" customFormat="1" ht="16.5" customHeight="1">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spans="1:48" s="93" customFormat="1" ht="16.5" customHeight="1">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spans="1:48" s="93" customFormat="1" ht="16.5" customHeight="1">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48" s="93" customFormat="1" ht="16.5" customHeight="1">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48" s="93" customFormat="1" ht="16.5" customHeight="1">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spans="1:48" s="93" customFormat="1" ht="16.5" customHeight="1">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spans="1:48" s="93" customFormat="1" ht="16.5" customHeight="1">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spans="1:48" s="93" customFormat="1" ht="16.5" customHeight="1">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spans="1:48" s="93" customFormat="1" ht="16.5" customHeight="1">
      <c r="A79" s="9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spans="1:48" s="93" customFormat="1" ht="16.5" customHeight="1">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spans="2:48" s="93" customFormat="1" ht="16.5" customHeight="1">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spans="2:48" s="93" customFormat="1" ht="16.5" customHeight="1">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spans="2:48" s="93" customFormat="1" ht="16.5" customHeight="1">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spans="2:48" s="93" customFormat="1" ht="16.5" customHeight="1">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spans="2:48" s="93" customFormat="1" ht="16.5" customHeight="1">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spans="2:48" s="93" customFormat="1" ht="16.5" customHeigh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spans="2:48" s="93" customFormat="1" ht="16.5" customHeight="1">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spans="2:48" s="93" customFormat="1" ht="16.5" customHeight="1">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spans="2:48" s="93" customFormat="1" ht="16.5" customHeight="1">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spans="2:48" s="93" customFormat="1" ht="16.5" customHeight="1">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spans="2:48" s="93" customFormat="1" ht="16.5" customHeight="1">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spans="2:48" s="93" customFormat="1" ht="16.5" customHeight="1">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spans="2:48" s="93" customFormat="1" ht="16.5"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spans="2:48" s="93" customFormat="1" ht="16.5" customHeight="1">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spans="2:48" s="93" customFormat="1" ht="16.5" customHeight="1">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spans="2:48" s="93" customFormat="1" ht="16.5" customHeight="1">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spans="1:48" s="93" customFormat="1" ht="16.5" customHeight="1">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100" spans="1:48" s="88" customFormat="1" ht="26.25" customHeight="1">
      <c r="A100" s="498" t="b">
        <v>0</v>
      </c>
      <c r="B100" s="498"/>
      <c r="C100" s="499"/>
      <c r="D100" s="87"/>
      <c r="E100" s="500" t="str">
        <f>HYPERLINK("#目录!A145","跳转回到目录页")</f>
        <v>跳转回到目录页</v>
      </c>
      <c r="F100" s="501"/>
    </row>
    <row r="101" spans="1:48" s="88" customFormat="1" ht="26.25" customHeight="1">
      <c r="A101" s="502" t="s">
        <v>1216</v>
      </c>
      <c r="B101" s="502"/>
      <c r="C101" s="503" t="s">
        <v>257</v>
      </c>
      <c r="D101" s="503"/>
      <c r="E101" s="503"/>
      <c r="F101" s="503"/>
      <c r="G101" s="503"/>
      <c r="H101" s="503"/>
      <c r="I101" s="503"/>
      <c r="J101" s="503"/>
      <c r="K101" s="503"/>
      <c r="L101" s="503"/>
      <c r="M101" s="503"/>
    </row>
    <row r="102" spans="1:48" s="88" customFormat="1" ht="16.5" customHeight="1">
      <c r="A102" s="496" t="s">
        <v>1217</v>
      </c>
      <c r="B102" s="496"/>
      <c r="C102" s="493" t="s">
        <v>2742</v>
      </c>
      <c r="D102" s="493"/>
      <c r="E102" s="493"/>
      <c r="F102" s="493"/>
      <c r="G102" s="493"/>
      <c r="H102" s="493"/>
      <c r="I102" s="493"/>
      <c r="J102" s="493"/>
      <c r="K102" s="493"/>
      <c r="L102" s="493"/>
      <c r="M102" s="493"/>
    </row>
    <row r="103" spans="1:48" s="88" customFormat="1" ht="16.5" customHeight="1">
      <c r="A103" s="496" t="s">
        <v>5786</v>
      </c>
      <c r="B103" s="496"/>
      <c r="C103" s="497" t="s">
        <v>5929</v>
      </c>
      <c r="D103" s="497"/>
      <c r="E103" s="497"/>
      <c r="F103" s="497"/>
      <c r="G103" s="497"/>
      <c r="H103" s="497"/>
      <c r="I103" s="497"/>
      <c r="J103" s="497"/>
      <c r="K103" s="497"/>
      <c r="L103" s="497"/>
      <c r="M103" s="497"/>
    </row>
    <row r="104" spans="1:48" s="88" customFormat="1" ht="16.5" customHeight="1">
      <c r="A104" s="496" t="s">
        <v>1220</v>
      </c>
      <c r="B104" s="496"/>
      <c r="C104" s="493" t="s">
        <v>2743</v>
      </c>
      <c r="D104" s="493"/>
      <c r="E104" s="493"/>
      <c r="F104" s="493"/>
      <c r="G104" s="493"/>
      <c r="H104" s="493"/>
      <c r="I104" s="493"/>
      <c r="J104" s="493"/>
      <c r="K104" s="493"/>
      <c r="L104" s="493"/>
      <c r="M104" s="493"/>
    </row>
    <row r="105" spans="1:48" s="88" customFormat="1" ht="16.5" customHeight="1">
      <c r="A105" s="496" t="s">
        <v>5785</v>
      </c>
      <c r="B105" s="496"/>
      <c r="C105" s="493" t="s">
        <v>2599</v>
      </c>
      <c r="D105" s="493"/>
      <c r="E105" s="493"/>
      <c r="F105" s="493"/>
      <c r="G105" s="493"/>
      <c r="H105" s="493"/>
      <c r="I105" s="493"/>
      <c r="J105" s="493"/>
      <c r="K105" s="493"/>
      <c r="L105" s="493"/>
      <c r="M105" s="493"/>
    </row>
    <row r="106" spans="1:48" s="88" customFormat="1" ht="16.5" customHeight="1">
      <c r="A106" s="89" t="s">
        <v>1223</v>
      </c>
      <c r="B106" s="92"/>
      <c r="C106" s="493" t="s">
        <v>2599</v>
      </c>
      <c r="D106" s="493"/>
      <c r="E106" s="493"/>
      <c r="F106" s="493"/>
      <c r="G106" s="493"/>
      <c r="H106" s="493"/>
      <c r="I106" s="493"/>
      <c r="J106" s="493"/>
      <c r="K106" s="493"/>
      <c r="L106" s="493"/>
      <c r="M106" s="493"/>
    </row>
    <row r="107" spans="1:48" s="88" customFormat="1" ht="16.5" customHeight="1">
      <c r="A107" s="89"/>
      <c r="B107" s="92"/>
      <c r="C107" s="493"/>
      <c r="D107" s="493"/>
      <c r="E107" s="493"/>
      <c r="F107" s="493"/>
      <c r="G107" s="493"/>
      <c r="H107" s="493"/>
      <c r="I107" s="493"/>
      <c r="J107" s="493"/>
      <c r="K107" s="493"/>
      <c r="L107" s="493"/>
      <c r="M107" s="493"/>
    </row>
    <row r="108" spans="1:48" s="88" customFormat="1" ht="16.5" customHeight="1">
      <c r="A108" s="89"/>
      <c r="B108" s="90"/>
      <c r="C108" s="493"/>
      <c r="D108" s="493"/>
      <c r="E108" s="493"/>
      <c r="F108" s="493"/>
      <c r="G108" s="493"/>
      <c r="H108" s="493"/>
      <c r="I108" s="493"/>
      <c r="J108" s="493"/>
      <c r="K108" s="493"/>
      <c r="L108" s="493"/>
      <c r="M108" s="493"/>
    </row>
    <row r="109" spans="1:48" s="88" customFormat="1" ht="16.5" customHeight="1">
      <c r="A109" s="89" t="s">
        <v>1228</v>
      </c>
      <c r="B109" s="493"/>
      <c r="C109" s="493"/>
      <c r="D109" s="493"/>
      <c r="E109" s="493"/>
      <c r="F109" s="493"/>
      <c r="G109" s="493"/>
      <c r="H109" s="493"/>
      <c r="I109" s="493"/>
      <c r="J109" s="493"/>
      <c r="K109" s="493"/>
      <c r="L109" s="493"/>
      <c r="M109" s="493"/>
    </row>
    <row r="110" spans="1:48" ht="24.75" customHeight="1">
      <c r="A110" s="89" t="s">
        <v>1229</v>
      </c>
      <c r="B110" s="493" t="s">
        <v>2744</v>
      </c>
      <c r="C110" s="493"/>
      <c r="D110" s="493"/>
      <c r="E110" s="493"/>
      <c r="F110" s="493"/>
      <c r="G110" s="493"/>
      <c r="H110" s="493"/>
      <c r="I110" s="493"/>
      <c r="J110" s="493"/>
      <c r="K110" s="493"/>
      <c r="L110" s="493"/>
      <c r="M110" s="493"/>
    </row>
    <row r="111" spans="1:48" ht="21" customHeight="1">
      <c r="B111" s="494" t="s">
        <v>1231</v>
      </c>
      <c r="C111" s="494"/>
      <c r="D111" s="494"/>
      <c r="E111" s="494"/>
      <c r="F111" s="494"/>
      <c r="G111" s="494"/>
      <c r="H111" s="494"/>
      <c r="I111" s="494"/>
      <c r="J111" s="494"/>
      <c r="K111" s="494"/>
      <c r="L111" s="495"/>
    </row>
    <row r="112" spans="1:48" s="93" customFormat="1" ht="16.5" customHeight="1"/>
    <row r="113" spans="1:10" s="93" customFormat="1" ht="16.5" customHeight="1">
      <c r="A113" s="94" t="s">
        <v>1232</v>
      </c>
      <c r="B113" s="93" t="s">
        <v>1773</v>
      </c>
      <c r="F113" s="4"/>
      <c r="G113" s="4"/>
      <c r="H113" s="4"/>
      <c r="I113" s="4"/>
      <c r="J113" s="4"/>
    </row>
    <row r="116" spans="1:10">
      <c r="B116" s="93"/>
      <c r="C116" s="104" t="s">
        <v>1238</v>
      </c>
    </row>
    <row r="117" spans="1:10">
      <c r="B117" s="93" t="b">
        <f>FALSE()</f>
        <v>0</v>
      </c>
      <c r="C117" s="108" t="s">
        <v>2743</v>
      </c>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AV47"/>
  <sheetViews>
    <sheetView tabSelected="1" topLeftCell="A22" zoomScale="130" zoomScaleNormal="130" workbookViewId="0">
      <selection activeCell="H26" sqref="H26"/>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260</v>
      </c>
      <c r="B1" s="498"/>
      <c r="C1" s="499"/>
      <c r="D1" s="87"/>
      <c r="E1" s="500" t="str">
        <f>HYPERLINK("#目录!A148","跳转回到目录页")</f>
        <v>跳转回到目录页</v>
      </c>
      <c r="F1" s="501"/>
    </row>
    <row r="2" spans="1:48" s="88" customFormat="1" ht="26.25" customHeight="1">
      <c r="A2" s="502" t="s">
        <v>1216</v>
      </c>
      <c r="B2" s="502"/>
      <c r="C2" s="503" t="s">
        <v>261</v>
      </c>
      <c r="D2" s="503"/>
      <c r="E2" s="503"/>
      <c r="F2" s="503"/>
      <c r="G2" s="503"/>
      <c r="H2" s="503"/>
      <c r="I2" s="503"/>
      <c r="J2" s="503"/>
      <c r="K2" s="503"/>
      <c r="L2" s="503"/>
      <c r="M2" s="503"/>
    </row>
    <row r="3" spans="1:48" s="88" customFormat="1" ht="33.6" customHeight="1">
      <c r="A3" s="496" t="s">
        <v>1217</v>
      </c>
      <c r="B3" s="496"/>
      <c r="C3" s="493" t="s">
        <v>2745</v>
      </c>
      <c r="D3" s="493"/>
      <c r="E3" s="493"/>
      <c r="F3" s="493"/>
      <c r="G3" s="493"/>
      <c r="H3" s="493"/>
      <c r="I3" s="493"/>
      <c r="J3" s="493"/>
      <c r="K3" s="493"/>
      <c r="L3" s="493"/>
      <c r="M3" s="493"/>
    </row>
    <row r="4" spans="1:48" s="88" customFormat="1" ht="21" customHeight="1">
      <c r="A4" s="496" t="s">
        <v>5786</v>
      </c>
      <c r="B4" s="496"/>
      <c r="C4" s="497" t="s">
        <v>2746</v>
      </c>
      <c r="D4" s="497"/>
      <c r="E4" s="497"/>
      <c r="F4" s="497"/>
      <c r="G4" s="497"/>
      <c r="H4" s="497"/>
      <c r="I4" s="497"/>
      <c r="J4" s="497"/>
      <c r="K4" s="497"/>
      <c r="L4" s="497"/>
      <c r="M4" s="497"/>
    </row>
    <row r="5" spans="1:48" s="88" customFormat="1" ht="19.2" customHeight="1">
      <c r="A5" s="496" t="s">
        <v>1220</v>
      </c>
      <c r="B5" s="496"/>
      <c r="C5" s="493" t="s">
        <v>2747</v>
      </c>
      <c r="D5" s="493"/>
      <c r="E5" s="493"/>
      <c r="F5" s="493"/>
      <c r="G5" s="493"/>
      <c r="H5" s="493"/>
      <c r="I5" s="493"/>
      <c r="J5" s="493"/>
      <c r="K5" s="493"/>
      <c r="L5" s="493"/>
      <c r="M5" s="493"/>
    </row>
    <row r="6" spans="1:48" s="88" customFormat="1" ht="18" customHeight="1">
      <c r="A6" s="496" t="s">
        <v>5785</v>
      </c>
      <c r="B6" s="496"/>
      <c r="C6" s="493" t="s">
        <v>2748</v>
      </c>
      <c r="D6" s="493"/>
      <c r="E6" s="493"/>
      <c r="F6" s="493"/>
      <c r="G6" s="493"/>
      <c r="H6" s="493"/>
      <c r="I6" s="493"/>
      <c r="J6" s="493"/>
      <c r="K6" s="493"/>
      <c r="L6" s="493"/>
      <c r="M6" s="493"/>
    </row>
    <row r="7" spans="1:48" s="88" customFormat="1" ht="24.75" customHeight="1">
      <c r="A7" s="89" t="s">
        <v>1223</v>
      </c>
      <c r="B7" s="92" t="s">
        <v>2749</v>
      </c>
      <c r="C7" s="493" t="s">
        <v>2750</v>
      </c>
      <c r="D7" s="493"/>
      <c r="E7" s="493"/>
      <c r="F7" s="493"/>
      <c r="G7" s="493"/>
      <c r="H7" s="493"/>
      <c r="I7" s="493"/>
      <c r="J7" s="493"/>
      <c r="K7" s="493"/>
      <c r="L7" s="493"/>
      <c r="M7" s="493"/>
    </row>
    <row r="8" spans="1:48" s="88" customFormat="1" ht="29.4" customHeight="1">
      <c r="A8" s="89"/>
      <c r="B8" s="92" t="s">
        <v>2751</v>
      </c>
      <c r="C8" s="493" t="s">
        <v>2752</v>
      </c>
      <c r="D8" s="493"/>
      <c r="E8" s="493"/>
      <c r="F8" s="493"/>
      <c r="G8" s="493"/>
      <c r="H8" s="493"/>
      <c r="I8" s="493"/>
      <c r="J8" s="493"/>
      <c r="K8" s="493"/>
      <c r="L8" s="493"/>
      <c r="M8" s="493"/>
    </row>
    <row r="9" spans="1:48" s="88" customFormat="1" ht="58.2" customHeight="1">
      <c r="A9" s="89"/>
      <c r="B9" s="90" t="s">
        <v>2753</v>
      </c>
      <c r="C9" s="493" t="s">
        <v>2754</v>
      </c>
      <c r="D9" s="493"/>
      <c r="E9" s="493"/>
      <c r="F9" s="493"/>
      <c r="G9" s="493"/>
      <c r="H9" s="493"/>
      <c r="I9" s="493"/>
      <c r="J9" s="493"/>
      <c r="K9" s="493"/>
      <c r="L9" s="493"/>
      <c r="M9" s="493"/>
    </row>
    <row r="10" spans="1:48" s="88" customFormat="1" ht="50.4" customHeight="1">
      <c r="A10" s="89"/>
      <c r="B10" s="90" t="s">
        <v>2755</v>
      </c>
      <c r="C10" s="509" t="s">
        <v>2756</v>
      </c>
      <c r="D10" s="509"/>
      <c r="E10" s="509"/>
      <c r="F10" s="509"/>
      <c r="G10" s="509"/>
      <c r="H10" s="509"/>
      <c r="I10" s="509"/>
      <c r="J10" s="509"/>
      <c r="K10" s="509"/>
      <c r="L10" s="509"/>
      <c r="M10" s="509"/>
    </row>
    <row r="11" spans="1:48" s="88" customFormat="1" ht="53.4" customHeight="1">
      <c r="A11" s="89" t="s">
        <v>1228</v>
      </c>
      <c r="B11" s="493" t="s">
        <v>2757</v>
      </c>
      <c r="C11" s="493"/>
      <c r="D11" s="493"/>
      <c r="E11" s="493"/>
      <c r="F11" s="493"/>
      <c r="G11" s="493"/>
      <c r="H11" s="493"/>
      <c r="I11" s="493"/>
      <c r="J11" s="493"/>
      <c r="K11" s="493"/>
      <c r="L11" s="493"/>
      <c r="M11" s="493"/>
    </row>
    <row r="12" spans="1:48" ht="114" customHeight="1">
      <c r="A12" s="89" t="s">
        <v>1229</v>
      </c>
      <c r="B12" s="493" t="s">
        <v>2758</v>
      </c>
      <c r="C12" s="493"/>
      <c r="D12" s="493"/>
      <c r="E12" s="493"/>
      <c r="F12" s="493"/>
      <c r="G12" s="493"/>
      <c r="H12" s="493"/>
      <c r="I12" s="493"/>
      <c r="J12" s="493"/>
      <c r="K12" s="493"/>
      <c r="L12" s="493"/>
      <c r="M12" s="493"/>
    </row>
    <row r="13" spans="1:48" ht="21" customHeight="1">
      <c r="B13" s="629" t="s">
        <v>1231</v>
      </c>
      <c r="C13" s="630"/>
      <c r="D13" s="630"/>
      <c r="E13" s="630"/>
      <c r="F13" s="630"/>
      <c r="G13" s="630"/>
      <c r="H13" s="630"/>
      <c r="I13" s="630"/>
      <c r="J13" s="630"/>
      <c r="K13" s="630"/>
      <c r="L13" s="631"/>
    </row>
    <row r="14" spans="1:48" s="93" customFormat="1" ht="16.5" customHeight="1"/>
    <row r="15" spans="1:48" s="93" customFormat="1" ht="16.5" customHeight="1">
      <c r="B15" s="93" t="s">
        <v>5928</v>
      </c>
      <c r="F15" s="4"/>
      <c r="G15" s="4"/>
      <c r="H15" s="4"/>
      <c r="I15" s="4"/>
      <c r="J15" s="4"/>
      <c r="K15" s="4"/>
      <c r="L15" s="4"/>
    </row>
    <row r="16" spans="1:48" s="93" customFormat="1" ht="16.5" customHeight="1">
      <c r="B16" s="93" t="s">
        <v>2759</v>
      </c>
      <c r="F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t="s">
        <v>2760</v>
      </c>
      <c r="F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A22" s="94" t="s">
        <v>1232</v>
      </c>
      <c r="B22" s="93" t="s">
        <v>1773</v>
      </c>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575" t="s">
        <v>1649</v>
      </c>
      <c r="C24" s="576"/>
      <c r="D24" s="576"/>
      <c r="E24" s="577"/>
      <c r="G24" s="93" t="s">
        <v>2761</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1650</v>
      </c>
      <c r="C25" s="100" t="s">
        <v>1680</v>
      </c>
      <c r="D25" s="110" t="s">
        <v>1657</v>
      </c>
      <c r="E25" s="112" t="s">
        <v>1681</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99" t="s">
        <v>1651</v>
      </c>
      <c r="C26" s="110">
        <v>3</v>
      </c>
      <c r="D26" s="110">
        <v>139</v>
      </c>
      <c r="E26" s="101">
        <f>C26*D26</f>
        <v>417</v>
      </c>
      <c r="G26" s="95" t="s">
        <v>1650</v>
      </c>
      <c r="H26" s="138" t="s">
        <v>1682</v>
      </c>
      <c r="I26" s="104" t="s">
        <v>1238</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9" t="s">
        <v>1652</v>
      </c>
      <c r="C27" s="110">
        <v>6</v>
      </c>
      <c r="D27" s="110">
        <v>35</v>
      </c>
      <c r="E27" s="101">
        <f t="shared" ref="E27:E34" si="0">C27*D27</f>
        <v>210</v>
      </c>
      <c r="G27" s="151" t="s">
        <v>1657</v>
      </c>
      <c r="H27" s="107">
        <f>VLOOKUP(H26,B26:D34,3,0)</f>
        <v>99</v>
      </c>
      <c r="I27" s="108" t="s">
        <v>2762</v>
      </c>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9" t="s">
        <v>1653</v>
      </c>
      <c r="C28" s="110">
        <v>2</v>
      </c>
      <c r="D28" s="110">
        <v>186</v>
      </c>
      <c r="E28" s="101">
        <f t="shared" si="0"/>
        <v>372</v>
      </c>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99" t="s">
        <v>1682</v>
      </c>
      <c r="C29" s="110">
        <v>5</v>
      </c>
      <c r="D29" s="110">
        <v>99</v>
      </c>
      <c r="E29" s="101">
        <f t="shared" si="0"/>
        <v>495</v>
      </c>
      <c r="H29" s="93" t="s">
        <v>1938</v>
      </c>
      <c r="I29" s="93" t="s">
        <v>2763</v>
      </c>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99" t="s">
        <v>1654</v>
      </c>
      <c r="C30" s="110">
        <v>1</v>
      </c>
      <c r="D30" s="110">
        <v>358</v>
      </c>
      <c r="E30" s="101">
        <f t="shared" si="0"/>
        <v>358</v>
      </c>
      <c r="I30" s="93" t="s">
        <v>2764</v>
      </c>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A31" s="94"/>
      <c r="B31" s="99" t="s">
        <v>1655</v>
      </c>
      <c r="C31" s="110">
        <v>3</v>
      </c>
      <c r="D31" s="110">
        <v>68</v>
      </c>
      <c r="E31" s="101">
        <f t="shared" si="0"/>
        <v>204</v>
      </c>
      <c r="I31" s="93" t="s">
        <v>2765</v>
      </c>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99" t="s">
        <v>1683</v>
      </c>
      <c r="C32" s="110">
        <v>8</v>
      </c>
      <c r="D32" s="110">
        <v>29</v>
      </c>
      <c r="E32" s="101">
        <f t="shared" si="0"/>
        <v>232</v>
      </c>
      <c r="H32" s="161"/>
      <c r="I32" s="93" t="s">
        <v>2766</v>
      </c>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B33" s="99" t="s">
        <v>1684</v>
      </c>
      <c r="C33" s="110">
        <v>4</v>
      </c>
      <c r="D33" s="110">
        <v>209</v>
      </c>
      <c r="E33" s="101">
        <f t="shared" si="0"/>
        <v>836</v>
      </c>
      <c r="H33" s="161"/>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99" t="s">
        <v>1656</v>
      </c>
      <c r="C34" s="110">
        <v>2</v>
      </c>
      <c r="D34" s="110">
        <v>169</v>
      </c>
      <c r="E34" s="101">
        <f t="shared" si="0"/>
        <v>338</v>
      </c>
      <c r="H34" s="161"/>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B35" s="99"/>
      <c r="C35" s="110"/>
      <c r="D35" s="110"/>
      <c r="E35" s="101"/>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B36" s="105"/>
      <c r="C36" s="113"/>
      <c r="D36" s="113"/>
      <c r="E36" s="107"/>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H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A39" s="94" t="s">
        <v>1244</v>
      </c>
      <c r="B39" s="93" t="s">
        <v>2767</v>
      </c>
      <c r="C39" s="93" t="s">
        <v>2768</v>
      </c>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95" t="s">
        <v>1657</v>
      </c>
      <c r="C42" s="138">
        <v>99</v>
      </c>
      <c r="D42" s="104" t="s">
        <v>1238</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151" t="s">
        <v>2769</v>
      </c>
      <c r="C43" s="107">
        <f>VLOOKUP(C42,IF({1,0},D26:D36,C26:C36),2,0)</f>
        <v>5</v>
      </c>
      <c r="D43" s="108" t="s">
        <v>2770</v>
      </c>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ht="16.5" customHeight="1"/>
    <row r="47" spans="1:48" ht="16.5" customHeight="1"/>
  </sheetData>
  <mergeCells count="20">
    <mergeCell ref="A1:C1"/>
    <mergeCell ref="E1:F1"/>
    <mergeCell ref="A2:B2"/>
    <mergeCell ref="C2:M2"/>
    <mergeCell ref="A3:B3"/>
    <mergeCell ref="C3:M3"/>
    <mergeCell ref="A4:B4"/>
    <mergeCell ref="C4:M4"/>
    <mergeCell ref="A5:B5"/>
    <mergeCell ref="C5:M5"/>
    <mergeCell ref="A6:B6"/>
    <mergeCell ref="C6:M6"/>
    <mergeCell ref="B13:L13"/>
    <mergeCell ref="B24:E24"/>
    <mergeCell ref="C7:M7"/>
    <mergeCell ref="C8:M8"/>
    <mergeCell ref="C9:M9"/>
    <mergeCell ref="C10:M10"/>
    <mergeCell ref="B11:M11"/>
    <mergeCell ref="B12:M12"/>
  </mergeCells>
  <phoneticPr fontId="2" type="noConversion"/>
  <pageMargins left="0.75" right="0.75" top="1" bottom="1" header="0.5" footer="0.5"/>
  <headerFooter scaleWithDoc="0"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V41"/>
  <sheetViews>
    <sheetView zoomScale="115" zoomScaleNormal="115" workbookViewId="0">
      <selection activeCell="E1" sqref="E1:F1"/>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262</v>
      </c>
      <c r="B1" s="498"/>
      <c r="C1" s="499"/>
      <c r="D1" s="87"/>
      <c r="E1" s="500" t="str">
        <f>HYPERLINK("#目录!A149","跳转回到目录页")</f>
        <v>跳转回到目录页</v>
      </c>
      <c r="F1" s="501"/>
    </row>
    <row r="2" spans="1:48" s="88" customFormat="1" ht="26.25" customHeight="1">
      <c r="A2" s="502" t="s">
        <v>1216</v>
      </c>
      <c r="B2" s="502"/>
      <c r="C2" s="503" t="s">
        <v>263</v>
      </c>
      <c r="D2" s="503"/>
      <c r="E2" s="503"/>
      <c r="F2" s="503"/>
      <c r="G2" s="503"/>
      <c r="H2" s="503"/>
      <c r="I2" s="503"/>
      <c r="J2" s="503"/>
      <c r="K2" s="503"/>
      <c r="L2" s="503"/>
      <c r="M2" s="503"/>
    </row>
    <row r="3" spans="1:48" s="88" customFormat="1" ht="35.4" customHeight="1">
      <c r="A3" s="496" t="s">
        <v>1217</v>
      </c>
      <c r="B3" s="496"/>
      <c r="C3" s="493" t="s">
        <v>2771</v>
      </c>
      <c r="D3" s="493"/>
      <c r="E3" s="493"/>
      <c r="F3" s="493"/>
      <c r="G3" s="493"/>
      <c r="H3" s="493"/>
      <c r="I3" s="493"/>
      <c r="J3" s="493"/>
      <c r="K3" s="493"/>
      <c r="L3" s="493"/>
      <c r="M3" s="493"/>
    </row>
    <row r="4" spans="1:48" s="88" customFormat="1" ht="16.5" customHeight="1">
      <c r="A4" s="496" t="s">
        <v>5786</v>
      </c>
      <c r="B4" s="496"/>
      <c r="C4" s="497" t="s">
        <v>2772</v>
      </c>
      <c r="D4" s="497"/>
      <c r="E4" s="497"/>
      <c r="F4" s="497"/>
      <c r="G4" s="497"/>
      <c r="H4" s="497"/>
      <c r="I4" s="497"/>
      <c r="J4" s="497"/>
      <c r="K4" s="497"/>
      <c r="L4" s="497"/>
      <c r="M4" s="497"/>
    </row>
    <row r="5" spans="1:48" s="88" customFormat="1" ht="16.5" customHeight="1">
      <c r="A5" s="496" t="s">
        <v>1220</v>
      </c>
      <c r="B5" s="496"/>
      <c r="C5" s="493" t="s">
        <v>2773</v>
      </c>
      <c r="D5" s="493"/>
      <c r="E5" s="493"/>
      <c r="F5" s="493"/>
      <c r="G5" s="493"/>
      <c r="H5" s="493"/>
      <c r="I5" s="493"/>
      <c r="J5" s="493"/>
      <c r="K5" s="493"/>
      <c r="L5" s="493"/>
      <c r="M5" s="493"/>
    </row>
    <row r="6" spans="1:48" s="88" customFormat="1" ht="22.2" customHeight="1">
      <c r="A6" s="496" t="s">
        <v>5785</v>
      </c>
      <c r="B6" s="496"/>
      <c r="C6" s="493" t="s">
        <v>2774</v>
      </c>
      <c r="D6" s="493"/>
      <c r="E6" s="493"/>
      <c r="F6" s="493"/>
      <c r="G6" s="493"/>
      <c r="H6" s="493"/>
      <c r="I6" s="493"/>
      <c r="J6" s="493"/>
      <c r="K6" s="493"/>
      <c r="L6" s="493"/>
      <c r="M6" s="493"/>
    </row>
    <row r="7" spans="1:48" s="88" customFormat="1" ht="36" customHeight="1">
      <c r="A7" s="89" t="s">
        <v>1223</v>
      </c>
      <c r="B7" s="92" t="s">
        <v>2749</v>
      </c>
      <c r="C7" s="493" t="s">
        <v>2775</v>
      </c>
      <c r="D7" s="493"/>
      <c r="E7" s="493"/>
      <c r="F7" s="493"/>
      <c r="G7" s="493"/>
      <c r="H7" s="493"/>
      <c r="I7" s="493"/>
      <c r="J7" s="493"/>
      <c r="K7" s="493"/>
      <c r="L7" s="493"/>
      <c r="M7" s="493"/>
    </row>
    <row r="8" spans="1:48" s="88" customFormat="1" ht="34.200000000000003" customHeight="1">
      <c r="A8" s="89"/>
      <c r="B8" s="92" t="s">
        <v>2751</v>
      </c>
      <c r="C8" s="493" t="s">
        <v>2776</v>
      </c>
      <c r="D8" s="493"/>
      <c r="E8" s="493"/>
      <c r="F8" s="493"/>
      <c r="G8" s="493"/>
      <c r="H8" s="493"/>
      <c r="I8" s="493"/>
      <c r="J8" s="493"/>
      <c r="K8" s="493"/>
      <c r="L8" s="493"/>
      <c r="M8" s="493"/>
    </row>
    <row r="9" spans="1:48" s="88" customFormat="1" ht="61.8" customHeight="1">
      <c r="A9" s="89"/>
      <c r="B9" s="92" t="s">
        <v>2777</v>
      </c>
      <c r="C9" s="509" t="s">
        <v>2778</v>
      </c>
      <c r="D9" s="509"/>
      <c r="E9" s="509"/>
      <c r="F9" s="509"/>
      <c r="G9" s="509"/>
      <c r="H9" s="509"/>
      <c r="I9" s="509"/>
      <c r="J9" s="509"/>
      <c r="K9" s="509"/>
      <c r="L9" s="509"/>
      <c r="M9" s="509"/>
    </row>
    <row r="10" spans="1:48" s="88" customFormat="1" ht="47.4" customHeight="1">
      <c r="A10" s="89"/>
      <c r="B10" s="90" t="s">
        <v>2755</v>
      </c>
      <c r="C10" s="493" t="s">
        <v>2779</v>
      </c>
      <c r="D10" s="493"/>
      <c r="E10" s="493"/>
      <c r="F10" s="493"/>
      <c r="G10" s="493"/>
      <c r="H10" s="493"/>
      <c r="I10" s="493"/>
      <c r="J10" s="493"/>
      <c r="K10" s="493"/>
      <c r="L10" s="493"/>
      <c r="M10" s="493"/>
    </row>
    <row r="11" spans="1:48" s="88" customFormat="1" ht="43.2" customHeight="1">
      <c r="A11" s="89" t="s">
        <v>1228</v>
      </c>
      <c r="B11" s="493" t="s">
        <v>2780</v>
      </c>
      <c r="C11" s="493"/>
      <c r="D11" s="493"/>
      <c r="E11" s="493"/>
      <c r="F11" s="493"/>
      <c r="G11" s="493"/>
      <c r="H11" s="493"/>
      <c r="I11" s="493"/>
      <c r="J11" s="493"/>
      <c r="K11" s="493"/>
      <c r="L11" s="493"/>
      <c r="M11" s="493"/>
    </row>
    <row r="12" spans="1:48" ht="70.8" customHeight="1">
      <c r="A12" s="89" t="s">
        <v>1229</v>
      </c>
      <c r="B12" s="493" t="s">
        <v>2781</v>
      </c>
      <c r="C12" s="493"/>
      <c r="D12" s="493"/>
      <c r="E12" s="493"/>
      <c r="F12" s="493"/>
      <c r="G12" s="493"/>
      <c r="H12" s="493"/>
      <c r="I12" s="493"/>
      <c r="J12" s="493"/>
      <c r="K12" s="493"/>
      <c r="L12" s="493"/>
      <c r="M12" s="493"/>
    </row>
    <row r="13" spans="1:48" ht="21" customHeight="1">
      <c r="B13" s="494" t="s">
        <v>1231</v>
      </c>
      <c r="C13" s="494"/>
      <c r="D13" s="494"/>
      <c r="E13" s="494"/>
      <c r="F13" s="494"/>
      <c r="G13" s="494"/>
      <c r="H13" s="494"/>
      <c r="I13" s="494"/>
      <c r="J13" s="494"/>
      <c r="K13" s="494"/>
      <c r="L13" s="495"/>
    </row>
    <row r="14" spans="1:48" s="93" customFormat="1" ht="16.5" customHeight="1"/>
    <row r="15" spans="1:48" s="93" customFormat="1" ht="16.5" customHeight="1">
      <c r="A15" s="94" t="s">
        <v>1232</v>
      </c>
      <c r="B15" s="93" t="s">
        <v>1773</v>
      </c>
    </row>
    <row r="16" spans="1:48" s="93" customFormat="1" ht="16.5" customHeight="1">
      <c r="G16" s="219"/>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632" t="s">
        <v>1932</v>
      </c>
      <c r="C17" s="632"/>
      <c r="D17" s="632"/>
      <c r="E17" s="632"/>
      <c r="G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2782</v>
      </c>
      <c r="C18" s="96" t="s">
        <v>2783</v>
      </c>
      <c r="D18" s="96" t="s">
        <v>2784</v>
      </c>
      <c r="E18" s="97" t="s">
        <v>2785</v>
      </c>
      <c r="F18" s="88"/>
      <c r="G18" s="95" t="s">
        <v>2782</v>
      </c>
      <c r="H18" s="97" t="s">
        <v>1246</v>
      </c>
      <c r="I18" s="104" t="s">
        <v>1238</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1246</v>
      </c>
      <c r="C19" s="100" t="s">
        <v>1250</v>
      </c>
      <c r="D19" s="100" t="s">
        <v>1252</v>
      </c>
      <c r="E19" s="112" t="s">
        <v>1253</v>
      </c>
      <c r="F19" s="88"/>
      <c r="G19" s="151" t="s">
        <v>5983</v>
      </c>
      <c r="H19" s="150" t="str">
        <f>HLOOKUP(G19,C18:E19,2,0)</f>
        <v>张三</v>
      </c>
      <c r="I19" s="108" t="s">
        <v>2786</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1968</v>
      </c>
      <c r="C20" s="100">
        <v>25</v>
      </c>
      <c r="D20" s="100">
        <v>29</v>
      </c>
      <c r="E20" s="112">
        <v>23</v>
      </c>
      <c r="F20" s="88"/>
      <c r="G20" s="151" t="s">
        <v>2784</v>
      </c>
      <c r="H20" s="150" t="str">
        <f>HLOOKUP(G20,C18:E19,2,0)</f>
        <v>李四</v>
      </c>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2787</v>
      </c>
      <c r="C21" s="100" t="s">
        <v>2788</v>
      </c>
      <c r="D21" s="100" t="s">
        <v>2789</v>
      </c>
      <c r="E21" s="112" t="s">
        <v>2790</v>
      </c>
      <c r="F21" s="88"/>
      <c r="G21" s="88"/>
      <c r="H21" s="88"/>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51" t="s">
        <v>2791</v>
      </c>
      <c r="C22" s="106" t="s">
        <v>2792</v>
      </c>
      <c r="D22" s="106" t="s">
        <v>2792</v>
      </c>
      <c r="E22" s="150" t="s">
        <v>2793</v>
      </c>
      <c r="F22" s="88"/>
      <c r="G22" s="88"/>
      <c r="H22" s="88"/>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G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G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G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G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A27" s="94"/>
      <c r="G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G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2:48" s="93" customFormat="1" ht="16.5" customHeight="1">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2:48" s="93" customFormat="1" ht="16.5" customHeight="1">
      <c r="B34" s="4"/>
      <c r="C34" s="4"/>
      <c r="D34" s="4"/>
      <c r="E34" s="4"/>
      <c r="F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2:48" s="93" customFormat="1" ht="16.5" customHeight="1">
      <c r="B35" s="4"/>
      <c r="C35" s="4"/>
      <c r="D35" s="4"/>
      <c r="E35" s="4"/>
      <c r="F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2:48" s="93" customFormat="1" ht="16.5" customHeight="1">
      <c r="B36" s="4"/>
      <c r="C36" s="4"/>
      <c r="D36" s="4"/>
      <c r="E36" s="4"/>
      <c r="F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2:48" s="93" customFormat="1" ht="16.5" customHeight="1">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2:48" s="93" customFormat="1" ht="16.5" customHeight="1">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2:48" s="93" customFormat="1" ht="16.5" customHeight="1">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2: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2: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sheetData>
  <mergeCells count="20">
    <mergeCell ref="A1:C1"/>
    <mergeCell ref="E1:F1"/>
    <mergeCell ref="A2:B2"/>
    <mergeCell ref="C2:M2"/>
    <mergeCell ref="A3:B3"/>
    <mergeCell ref="C3:M3"/>
    <mergeCell ref="A4:B4"/>
    <mergeCell ref="C4:M4"/>
    <mergeCell ref="A5:B5"/>
    <mergeCell ref="C5:M5"/>
    <mergeCell ref="A6:B6"/>
    <mergeCell ref="C6:M6"/>
    <mergeCell ref="B13:L13"/>
    <mergeCell ref="B17:E17"/>
    <mergeCell ref="C7:M7"/>
    <mergeCell ref="C8:M8"/>
    <mergeCell ref="C9:M9"/>
    <mergeCell ref="C10:M10"/>
    <mergeCell ref="B11:M11"/>
    <mergeCell ref="B12:M12"/>
  </mergeCells>
  <phoneticPr fontId="2" type="noConversion"/>
  <pageMargins left="0.75" right="0.75" top="1" bottom="1" header="0.5" footer="0.5"/>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M41"/>
  <sheetViews>
    <sheetView workbookViewId="0">
      <selection activeCell="E1" sqref="E1:F1"/>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264</v>
      </c>
      <c r="B1" s="498"/>
      <c r="C1" s="499"/>
      <c r="D1" s="87"/>
      <c r="E1" s="500" t="str">
        <f>HYPERLINK("#目录!A150","跳转回到目录页")</f>
        <v>跳转回到目录页</v>
      </c>
      <c r="F1" s="501"/>
    </row>
    <row r="2" spans="1:13" s="88" customFormat="1" ht="26.25" customHeight="1">
      <c r="A2" s="502" t="s">
        <v>1216</v>
      </c>
      <c r="B2" s="502"/>
      <c r="C2" s="503" t="s">
        <v>2794</v>
      </c>
      <c r="D2" s="503"/>
      <c r="E2" s="503"/>
      <c r="F2" s="503"/>
      <c r="G2" s="503"/>
      <c r="H2" s="503"/>
      <c r="I2" s="503"/>
      <c r="J2" s="503"/>
      <c r="K2" s="503"/>
      <c r="L2" s="503"/>
      <c r="M2" s="503"/>
    </row>
    <row r="3" spans="1:13" s="88" customFormat="1" ht="16.5" customHeight="1">
      <c r="A3" s="496" t="s">
        <v>1217</v>
      </c>
      <c r="B3" s="496"/>
      <c r="C3" s="493" t="s">
        <v>2795</v>
      </c>
      <c r="D3" s="493"/>
      <c r="E3" s="493"/>
      <c r="F3" s="493"/>
      <c r="G3" s="493"/>
      <c r="H3" s="493"/>
      <c r="I3" s="493"/>
      <c r="J3" s="493"/>
      <c r="K3" s="493"/>
      <c r="L3" s="493"/>
      <c r="M3" s="493"/>
    </row>
    <row r="4" spans="1:13" s="88" customFormat="1" ht="16.5" customHeight="1">
      <c r="A4" s="496" t="s">
        <v>5786</v>
      </c>
      <c r="B4" s="496"/>
      <c r="C4" s="497" t="s">
        <v>2796</v>
      </c>
      <c r="D4" s="497"/>
      <c r="E4" s="497"/>
      <c r="F4" s="497"/>
      <c r="G4" s="497"/>
      <c r="H4" s="497"/>
      <c r="I4" s="497"/>
      <c r="J4" s="497"/>
      <c r="K4" s="497"/>
      <c r="L4" s="497"/>
      <c r="M4" s="497"/>
    </row>
    <row r="5" spans="1:13" s="88" customFormat="1" ht="16.5" customHeight="1">
      <c r="A5" s="496" t="s">
        <v>1220</v>
      </c>
      <c r="B5" s="496"/>
      <c r="C5" s="493" t="s">
        <v>2797</v>
      </c>
      <c r="D5" s="493"/>
      <c r="E5" s="493"/>
      <c r="F5" s="493"/>
      <c r="G5" s="493"/>
      <c r="H5" s="493"/>
      <c r="I5" s="493"/>
      <c r="J5" s="493"/>
      <c r="K5" s="493"/>
      <c r="L5" s="493"/>
      <c r="M5" s="493"/>
    </row>
    <row r="6" spans="1:13" s="88" customFormat="1" ht="16.5" customHeight="1">
      <c r="A6" s="496" t="s">
        <v>5785</v>
      </c>
      <c r="B6" s="496"/>
      <c r="C6" s="493" t="s">
        <v>2798</v>
      </c>
      <c r="D6" s="493"/>
      <c r="E6" s="493"/>
      <c r="F6" s="493"/>
      <c r="G6" s="493"/>
      <c r="H6" s="493"/>
      <c r="I6" s="493"/>
      <c r="J6" s="493"/>
      <c r="K6" s="493"/>
      <c r="L6" s="493"/>
      <c r="M6" s="493"/>
    </row>
    <row r="7" spans="1:13" s="88" customFormat="1" ht="40.200000000000003" customHeight="1">
      <c r="A7" s="633" t="s">
        <v>2799</v>
      </c>
      <c r="B7" s="92" t="s">
        <v>2749</v>
      </c>
      <c r="C7" s="493" t="s">
        <v>2800</v>
      </c>
      <c r="D7" s="493"/>
      <c r="E7" s="493"/>
      <c r="F7" s="493"/>
      <c r="G7" s="493"/>
      <c r="H7" s="493"/>
      <c r="I7" s="493"/>
      <c r="J7" s="493"/>
      <c r="K7" s="493"/>
      <c r="L7" s="493"/>
      <c r="M7" s="493"/>
    </row>
    <row r="8" spans="1:13" s="88" customFormat="1" ht="40.200000000000003" customHeight="1">
      <c r="A8" s="633"/>
      <c r="B8" s="92" t="s">
        <v>2801</v>
      </c>
      <c r="C8" s="509" t="s">
        <v>2802</v>
      </c>
      <c r="D8" s="509"/>
      <c r="E8" s="509"/>
      <c r="F8" s="509"/>
      <c r="G8" s="509"/>
      <c r="H8" s="509"/>
      <c r="I8" s="509"/>
      <c r="J8" s="509"/>
      <c r="K8" s="509"/>
      <c r="L8" s="509"/>
      <c r="M8" s="509"/>
    </row>
    <row r="9" spans="1:13" s="88" customFormat="1" ht="68.400000000000006" customHeight="1">
      <c r="A9" s="633"/>
      <c r="B9" s="90" t="s">
        <v>2803</v>
      </c>
      <c r="C9" s="493" t="s">
        <v>2804</v>
      </c>
      <c r="D9" s="493"/>
      <c r="E9" s="493"/>
      <c r="F9" s="493"/>
      <c r="G9" s="493"/>
      <c r="H9" s="493"/>
      <c r="I9" s="493"/>
      <c r="J9" s="493"/>
      <c r="K9" s="493"/>
      <c r="L9" s="493"/>
      <c r="M9" s="493"/>
    </row>
    <row r="10" spans="1:13" s="88" customFormat="1" ht="36" customHeight="1">
      <c r="A10" s="634" t="s">
        <v>2805</v>
      </c>
      <c r="B10" s="271" t="s">
        <v>2749</v>
      </c>
      <c r="C10" s="635" t="s">
        <v>2806</v>
      </c>
      <c r="D10" s="635"/>
      <c r="E10" s="635"/>
      <c r="F10" s="635"/>
      <c r="G10" s="635"/>
      <c r="H10" s="635"/>
      <c r="I10" s="635"/>
      <c r="J10" s="635"/>
      <c r="K10" s="635"/>
      <c r="L10" s="635"/>
      <c r="M10" s="635"/>
    </row>
    <row r="11" spans="1:13" s="88" customFormat="1" ht="36" customHeight="1">
      <c r="A11" s="633"/>
      <c r="B11" s="90" t="s">
        <v>2568</v>
      </c>
      <c r="C11" s="509" t="s">
        <v>2807</v>
      </c>
      <c r="D11" s="509"/>
      <c r="E11" s="509"/>
      <c r="F11" s="509"/>
      <c r="G11" s="509"/>
      <c r="H11" s="509"/>
      <c r="I11" s="509"/>
      <c r="J11" s="509"/>
      <c r="K11" s="509"/>
      <c r="L11" s="509"/>
      <c r="M11" s="509"/>
    </row>
    <row r="12" spans="1:13" s="88" customFormat="1" ht="175.2" customHeight="1">
      <c r="A12" s="272" t="s">
        <v>2808</v>
      </c>
      <c r="B12" s="493" t="s">
        <v>2809</v>
      </c>
      <c r="C12" s="493"/>
      <c r="D12" s="493"/>
      <c r="E12" s="493"/>
      <c r="F12" s="493"/>
      <c r="G12" s="493"/>
      <c r="H12" s="493"/>
      <c r="I12" s="493"/>
      <c r="J12" s="493"/>
      <c r="K12" s="493"/>
      <c r="L12" s="493"/>
      <c r="M12" s="493"/>
    </row>
    <row r="13" spans="1:13" s="88" customFormat="1" ht="142.80000000000001" customHeight="1">
      <c r="A13" s="272" t="s">
        <v>2810</v>
      </c>
      <c r="B13" s="493" t="s">
        <v>2811</v>
      </c>
      <c r="C13" s="493"/>
      <c r="D13" s="493"/>
      <c r="E13" s="493"/>
      <c r="F13" s="493"/>
      <c r="G13" s="493"/>
      <c r="H13" s="493"/>
      <c r="I13" s="493"/>
      <c r="J13" s="493"/>
      <c r="K13" s="493"/>
      <c r="L13" s="493"/>
      <c r="M13" s="493"/>
    </row>
    <row r="14" spans="1:13" ht="83.4" customHeight="1">
      <c r="A14" s="89" t="s">
        <v>1229</v>
      </c>
      <c r="B14" s="493" t="s">
        <v>2812</v>
      </c>
      <c r="C14" s="493"/>
      <c r="D14" s="493"/>
      <c r="E14" s="493"/>
      <c r="F14" s="493"/>
      <c r="G14" s="493"/>
      <c r="H14" s="493"/>
      <c r="I14" s="493"/>
      <c r="J14" s="493"/>
      <c r="K14" s="493"/>
      <c r="L14" s="493"/>
      <c r="M14" s="493"/>
    </row>
    <row r="15" spans="1:13" ht="21" customHeight="1">
      <c r="B15" s="494" t="s">
        <v>1231</v>
      </c>
      <c r="C15" s="494"/>
      <c r="D15" s="494"/>
      <c r="E15" s="494"/>
      <c r="F15" s="494"/>
      <c r="G15" s="494"/>
      <c r="H15" s="494"/>
      <c r="I15" s="494"/>
      <c r="J15" s="494"/>
      <c r="K15" s="494"/>
      <c r="L15" s="495"/>
    </row>
    <row r="16" spans="1:13" s="93" customFormat="1" ht="16.5" customHeight="1"/>
    <row r="17" spans="1:11" s="93" customFormat="1" ht="16.5" customHeight="1">
      <c r="A17" s="94" t="s">
        <v>1232</v>
      </c>
      <c r="B17" s="93" t="s">
        <v>1773</v>
      </c>
      <c r="C17" s="93" t="s">
        <v>2813</v>
      </c>
    </row>
    <row r="18" spans="1:11" ht="16.5" customHeight="1"/>
    <row r="19" spans="1:11" ht="16.5" customHeight="1">
      <c r="B19" s="93"/>
      <c r="C19" s="93"/>
      <c r="D19" s="93"/>
      <c r="E19" s="93"/>
      <c r="F19" s="93"/>
      <c r="G19" s="93"/>
      <c r="H19" s="93"/>
      <c r="I19" s="93"/>
      <c r="J19" s="93"/>
      <c r="K19" s="93"/>
    </row>
    <row r="20" spans="1:11" ht="16.5" customHeight="1">
      <c r="B20" s="612" t="s">
        <v>1932</v>
      </c>
      <c r="C20" s="612"/>
      <c r="D20" s="612"/>
      <c r="E20" s="93"/>
      <c r="F20" s="518" t="s">
        <v>2814</v>
      </c>
      <c r="G20" s="518"/>
      <c r="H20" s="93"/>
      <c r="I20" s="93"/>
      <c r="J20" s="93"/>
      <c r="K20" s="93"/>
    </row>
    <row r="21" spans="1:11" ht="16.5" customHeight="1">
      <c r="B21" s="95" t="s">
        <v>1246</v>
      </c>
      <c r="C21" s="96" t="s">
        <v>1607</v>
      </c>
      <c r="D21" s="97" t="s">
        <v>1968</v>
      </c>
      <c r="E21" s="93"/>
      <c r="F21" s="273">
        <v>40544</v>
      </c>
      <c r="G21" s="266">
        <v>40545</v>
      </c>
      <c r="H21" s="93"/>
      <c r="I21" s="93"/>
      <c r="J21" s="93"/>
      <c r="K21" s="93"/>
    </row>
    <row r="22" spans="1:11" ht="16.5" customHeight="1">
      <c r="B22" s="111" t="s">
        <v>1375</v>
      </c>
      <c r="C22" s="100"/>
      <c r="D22" s="101"/>
      <c r="E22" s="93"/>
      <c r="F22" s="111" t="s">
        <v>1375</v>
      </c>
      <c r="G22" s="101"/>
      <c r="H22" s="93"/>
      <c r="I22" s="95" t="s">
        <v>1246</v>
      </c>
      <c r="J22" s="97" t="s">
        <v>1385</v>
      </c>
      <c r="K22" s="104" t="s">
        <v>1238</v>
      </c>
    </row>
    <row r="23" spans="1:11" ht="16.5" customHeight="1">
      <c r="B23" s="215" t="s">
        <v>1850</v>
      </c>
      <c r="C23" s="216" t="s">
        <v>1618</v>
      </c>
      <c r="D23" s="101">
        <v>30</v>
      </c>
      <c r="E23" s="93"/>
      <c r="F23" s="99">
        <v>562</v>
      </c>
      <c r="G23" s="101">
        <v>366</v>
      </c>
      <c r="H23" s="93"/>
      <c r="I23" s="270" t="s">
        <v>1847</v>
      </c>
      <c r="J23" s="107">
        <f>LOOKUP(I23,B23:B32,G23:G32)</f>
        <v>596</v>
      </c>
      <c r="K23" s="108" t="s">
        <v>2815</v>
      </c>
    </row>
    <row r="24" spans="1:11" ht="16.5" customHeight="1">
      <c r="B24" s="215" t="s">
        <v>1852</v>
      </c>
      <c r="C24" s="216" t="s">
        <v>1612</v>
      </c>
      <c r="D24" s="101">
        <v>22</v>
      </c>
      <c r="E24" s="93"/>
      <c r="F24" s="99">
        <v>456</v>
      </c>
      <c r="G24" s="101">
        <v>372</v>
      </c>
      <c r="H24" s="93"/>
      <c r="I24" s="93"/>
      <c r="J24" s="93"/>
      <c r="K24" s="93"/>
    </row>
    <row r="25" spans="1:11" ht="16.5" customHeight="1">
      <c r="B25" s="215" t="s">
        <v>1851</v>
      </c>
      <c r="C25" s="216" t="s">
        <v>1612</v>
      </c>
      <c r="D25" s="101">
        <v>24</v>
      </c>
      <c r="E25" s="93"/>
      <c r="F25" s="99">
        <v>412</v>
      </c>
      <c r="G25" s="101">
        <v>329</v>
      </c>
      <c r="H25" s="93"/>
      <c r="I25" s="93"/>
      <c r="J25" s="93"/>
      <c r="K25" s="93"/>
    </row>
    <row r="26" spans="1:11" ht="16.5" customHeight="1">
      <c r="B26" s="215" t="s">
        <v>1849</v>
      </c>
      <c r="C26" s="216" t="s">
        <v>1618</v>
      </c>
      <c r="D26" s="101">
        <v>25</v>
      </c>
      <c r="E26" s="93"/>
      <c r="F26" s="99">
        <v>231</v>
      </c>
      <c r="G26" s="101">
        <v>188</v>
      </c>
      <c r="H26" s="93"/>
      <c r="I26" s="93"/>
      <c r="J26" s="93"/>
      <c r="K26" s="93"/>
    </row>
    <row r="27" spans="1:11" ht="16.5" customHeight="1">
      <c r="B27" s="215" t="s">
        <v>1848</v>
      </c>
      <c r="C27" s="216" t="s">
        <v>1618</v>
      </c>
      <c r="D27" s="101">
        <v>29</v>
      </c>
      <c r="E27" s="93"/>
      <c r="F27" s="99">
        <v>451</v>
      </c>
      <c r="G27" s="101">
        <v>356</v>
      </c>
      <c r="H27" s="93"/>
      <c r="I27" s="93"/>
      <c r="J27" s="93"/>
      <c r="K27" s="93"/>
    </row>
    <row r="28" spans="1:11" ht="16.5" customHeight="1">
      <c r="B28" s="215" t="s">
        <v>1854</v>
      </c>
      <c r="C28" s="216" t="s">
        <v>1618</v>
      </c>
      <c r="D28" s="101">
        <v>26</v>
      </c>
      <c r="E28" s="93"/>
      <c r="F28" s="99">
        <v>362</v>
      </c>
      <c r="G28" s="101">
        <v>150</v>
      </c>
      <c r="H28" s="93"/>
      <c r="I28" s="93"/>
      <c r="J28" s="93"/>
      <c r="K28" s="93"/>
    </row>
    <row r="29" spans="1:11" ht="16.5" customHeight="1">
      <c r="B29" s="215" t="s">
        <v>1847</v>
      </c>
      <c r="C29" s="216" t="s">
        <v>1618</v>
      </c>
      <c r="D29" s="101">
        <v>28</v>
      </c>
      <c r="E29" s="93"/>
      <c r="F29" s="99">
        <v>862</v>
      </c>
      <c r="G29" s="101">
        <v>596</v>
      </c>
      <c r="H29" s="93"/>
      <c r="I29" s="93"/>
      <c r="J29" s="93"/>
      <c r="K29" s="93"/>
    </row>
    <row r="30" spans="1:11" ht="16.5" customHeight="1">
      <c r="B30" s="215" t="s">
        <v>1843</v>
      </c>
      <c r="C30" s="216" t="s">
        <v>1618</v>
      </c>
      <c r="D30" s="101">
        <v>23</v>
      </c>
      <c r="E30" s="93"/>
      <c r="F30" s="99">
        <v>308</v>
      </c>
      <c r="G30" s="101">
        <v>428</v>
      </c>
      <c r="H30" s="93"/>
      <c r="I30" s="93"/>
      <c r="J30" s="93"/>
      <c r="K30" s="93"/>
    </row>
    <row r="31" spans="1:11" ht="16.5" customHeight="1">
      <c r="B31" s="215" t="s">
        <v>1845</v>
      </c>
      <c r="C31" s="216" t="s">
        <v>1618</v>
      </c>
      <c r="D31" s="101">
        <v>19</v>
      </c>
      <c r="E31" s="93"/>
      <c r="F31" s="99">
        <v>265</v>
      </c>
      <c r="G31" s="101">
        <v>168</v>
      </c>
      <c r="H31" s="93"/>
      <c r="I31" s="93"/>
      <c r="J31" s="93"/>
      <c r="K31" s="93"/>
    </row>
    <row r="32" spans="1:11" ht="16.5" customHeight="1">
      <c r="B32" s="215" t="s">
        <v>1853</v>
      </c>
      <c r="C32" s="216" t="s">
        <v>1618</v>
      </c>
      <c r="D32" s="101">
        <v>23</v>
      </c>
      <c r="E32" s="93"/>
      <c r="F32" s="99">
        <v>256</v>
      </c>
      <c r="G32" s="101">
        <v>98</v>
      </c>
      <c r="H32" s="93"/>
      <c r="I32" s="93"/>
      <c r="J32" s="93"/>
      <c r="K32" s="93"/>
    </row>
    <row r="33" spans="1:11" ht="16.5" customHeight="1">
      <c r="B33" s="151" t="s">
        <v>1375</v>
      </c>
      <c r="C33" s="106"/>
      <c r="D33" s="107"/>
      <c r="E33" s="93"/>
      <c r="F33" s="151" t="s">
        <v>1375</v>
      </c>
      <c r="G33" s="107"/>
      <c r="H33" s="93"/>
      <c r="I33" s="93"/>
      <c r="J33" s="93"/>
      <c r="K33" s="93"/>
    </row>
    <row r="34" spans="1:11" ht="16.5" customHeight="1">
      <c r="B34" s="93"/>
      <c r="C34" s="93"/>
      <c r="D34" s="93"/>
      <c r="E34" s="93"/>
      <c r="F34" s="93"/>
      <c r="G34" s="93"/>
      <c r="H34" s="93"/>
      <c r="I34" s="93"/>
      <c r="J34" s="93"/>
      <c r="K34" s="93"/>
    </row>
    <row r="35" spans="1:11" ht="16.5" customHeight="1">
      <c r="B35" s="93"/>
      <c r="C35" s="93"/>
      <c r="D35" s="93"/>
      <c r="E35" s="93"/>
      <c r="F35" s="93"/>
      <c r="G35" s="93"/>
      <c r="H35" s="93"/>
      <c r="I35" s="93"/>
      <c r="J35" s="93"/>
      <c r="K35" s="93"/>
    </row>
    <row r="36" spans="1:11" ht="16.5" customHeight="1">
      <c r="A36" s="94" t="s">
        <v>1232</v>
      </c>
      <c r="B36" s="93" t="s">
        <v>1773</v>
      </c>
      <c r="C36" s="93" t="s">
        <v>2816</v>
      </c>
      <c r="D36" s="93"/>
      <c r="E36" s="93"/>
      <c r="F36" s="93"/>
      <c r="G36" s="93"/>
      <c r="H36" s="93"/>
      <c r="I36" s="93"/>
      <c r="J36" s="93"/>
      <c r="K36" s="93"/>
    </row>
    <row r="37" spans="1:11" ht="16.5" customHeight="1"/>
    <row r="38" spans="1:11" ht="16.5" customHeight="1">
      <c r="B38" s="95" t="s">
        <v>1246</v>
      </c>
      <c r="C38" s="97" t="s">
        <v>1385</v>
      </c>
      <c r="D38" s="104" t="s">
        <v>1238</v>
      </c>
    </row>
    <row r="39" spans="1:11" ht="16.5" customHeight="1">
      <c r="B39" s="270" t="s">
        <v>1847</v>
      </c>
      <c r="C39" s="107">
        <f>LOOKUP(B39,B23:G32)</f>
        <v>596</v>
      </c>
      <c r="D39" s="108" t="s">
        <v>2817</v>
      </c>
    </row>
    <row r="40" spans="1:11" ht="16.5" customHeight="1"/>
    <row r="41" spans="1:11" ht="16.5" customHeight="1"/>
  </sheetData>
  <mergeCells count="25">
    <mergeCell ref="A1:C1"/>
    <mergeCell ref="E1:F1"/>
    <mergeCell ref="A2:B2"/>
    <mergeCell ref="C2:M2"/>
    <mergeCell ref="A3:B3"/>
    <mergeCell ref="C3:M3"/>
    <mergeCell ref="B12:M12"/>
    <mergeCell ref="A4:B4"/>
    <mergeCell ref="C4:M4"/>
    <mergeCell ref="A5:B5"/>
    <mergeCell ref="C5:M5"/>
    <mergeCell ref="A6:B6"/>
    <mergeCell ref="C6:M6"/>
    <mergeCell ref="A7:A9"/>
    <mergeCell ref="A10:A11"/>
    <mergeCell ref="C7:M7"/>
    <mergeCell ref="C8:M8"/>
    <mergeCell ref="C9:M9"/>
    <mergeCell ref="C10:M10"/>
    <mergeCell ref="C11:M11"/>
    <mergeCell ref="B13:M13"/>
    <mergeCell ref="B14:M14"/>
    <mergeCell ref="B15:L15"/>
    <mergeCell ref="B20:D20"/>
    <mergeCell ref="F20:G20"/>
  </mergeCells>
  <phoneticPr fontId="2" type="noConversion"/>
  <pageMargins left="0.75" right="0.75" top="1" bottom="1" header="0.5" footer="0.5"/>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AV31"/>
  <sheetViews>
    <sheetView workbookViewId="0">
      <selection activeCell="E1" sqref="E1:F1"/>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268</v>
      </c>
      <c r="B1" s="498"/>
      <c r="C1" s="499"/>
      <c r="D1" s="87"/>
      <c r="E1" s="500" t="str">
        <f>HYPERLINK("#目录!A153","跳转回到目录页")</f>
        <v>跳转回到目录页</v>
      </c>
      <c r="F1" s="501"/>
    </row>
    <row r="2" spans="1:48" s="88" customFormat="1" ht="26.25" customHeight="1">
      <c r="A2" s="502" t="s">
        <v>1216</v>
      </c>
      <c r="B2" s="502"/>
      <c r="C2" s="503" t="s">
        <v>269</v>
      </c>
      <c r="D2" s="503"/>
      <c r="E2" s="503"/>
      <c r="F2" s="503"/>
      <c r="G2" s="503"/>
      <c r="H2" s="503"/>
      <c r="I2" s="503"/>
      <c r="J2" s="503"/>
      <c r="K2" s="503"/>
      <c r="L2" s="503"/>
      <c r="M2" s="503"/>
    </row>
    <row r="3" spans="1:48" s="88" customFormat="1" ht="24.75" customHeight="1">
      <c r="A3" s="496" t="s">
        <v>1217</v>
      </c>
      <c r="B3" s="496"/>
      <c r="C3" s="493" t="s">
        <v>2818</v>
      </c>
      <c r="D3" s="493"/>
      <c r="E3" s="493"/>
      <c r="F3" s="493"/>
      <c r="G3" s="493"/>
      <c r="H3" s="493"/>
      <c r="I3" s="493"/>
      <c r="J3" s="493"/>
      <c r="K3" s="493"/>
      <c r="L3" s="493"/>
      <c r="M3" s="493"/>
    </row>
    <row r="4" spans="1:48" s="88" customFormat="1" ht="16.5" customHeight="1">
      <c r="A4" s="496" t="s">
        <v>5786</v>
      </c>
      <c r="B4" s="496"/>
      <c r="C4" s="497" t="s">
        <v>2819</v>
      </c>
      <c r="D4" s="497"/>
      <c r="E4" s="497"/>
      <c r="F4" s="497"/>
      <c r="G4" s="497"/>
      <c r="H4" s="497"/>
      <c r="I4" s="497"/>
      <c r="J4" s="497"/>
      <c r="K4" s="497"/>
      <c r="L4" s="497"/>
      <c r="M4" s="497"/>
    </row>
    <row r="5" spans="1:48" s="88" customFormat="1" ht="16.5" customHeight="1">
      <c r="A5" s="496" t="s">
        <v>1220</v>
      </c>
      <c r="B5" s="496"/>
      <c r="C5" s="493" t="s">
        <v>2820</v>
      </c>
      <c r="D5" s="493"/>
      <c r="E5" s="493"/>
      <c r="F5" s="493"/>
      <c r="G5" s="493"/>
      <c r="H5" s="493"/>
      <c r="I5" s="493"/>
      <c r="J5" s="493"/>
      <c r="K5" s="493"/>
      <c r="L5" s="493"/>
      <c r="M5" s="493"/>
    </row>
    <row r="6" spans="1:48" s="88" customFormat="1" ht="16.5" customHeight="1">
      <c r="A6" s="496" t="s">
        <v>5785</v>
      </c>
      <c r="B6" s="496"/>
      <c r="C6" s="493" t="s">
        <v>2821</v>
      </c>
      <c r="D6" s="493"/>
      <c r="E6" s="493"/>
      <c r="F6" s="493"/>
      <c r="G6" s="493"/>
      <c r="H6" s="493"/>
      <c r="I6" s="493"/>
      <c r="J6" s="493"/>
      <c r="K6" s="493"/>
      <c r="L6" s="493"/>
      <c r="M6" s="493"/>
    </row>
    <row r="7" spans="1:48" s="88" customFormat="1" ht="42" customHeight="1">
      <c r="A7" s="89" t="s">
        <v>1223</v>
      </c>
      <c r="B7" s="92" t="s">
        <v>2749</v>
      </c>
      <c r="C7" s="493" t="s">
        <v>2822</v>
      </c>
      <c r="D7" s="493"/>
      <c r="E7" s="493"/>
      <c r="F7" s="493"/>
      <c r="G7" s="493"/>
      <c r="H7" s="493"/>
      <c r="I7" s="493"/>
      <c r="J7" s="493"/>
      <c r="K7" s="493"/>
      <c r="L7" s="493"/>
      <c r="M7" s="493"/>
    </row>
    <row r="8" spans="1:48" s="88" customFormat="1" ht="37.200000000000003" customHeight="1">
      <c r="A8" s="89"/>
      <c r="B8" s="92" t="s">
        <v>2823</v>
      </c>
      <c r="C8" s="493" t="s">
        <v>2824</v>
      </c>
      <c r="D8" s="493"/>
      <c r="E8" s="493"/>
      <c r="F8" s="493"/>
      <c r="G8" s="493"/>
      <c r="H8" s="493"/>
      <c r="I8" s="493"/>
      <c r="J8" s="493"/>
      <c r="K8" s="493"/>
      <c r="L8" s="493"/>
      <c r="M8" s="493"/>
    </row>
    <row r="9" spans="1:48" s="88" customFormat="1" ht="36.6" customHeight="1">
      <c r="A9" s="89"/>
      <c r="B9" s="90" t="s">
        <v>2825</v>
      </c>
      <c r="C9" s="493" t="s">
        <v>2826</v>
      </c>
      <c r="D9" s="493"/>
      <c r="E9" s="493"/>
      <c r="F9" s="493"/>
      <c r="G9" s="493"/>
      <c r="H9" s="493"/>
      <c r="I9" s="493"/>
      <c r="J9" s="493"/>
      <c r="K9" s="493"/>
      <c r="L9" s="493"/>
      <c r="M9" s="493"/>
    </row>
    <row r="10" spans="1:48" s="88" customFormat="1" ht="36" customHeight="1">
      <c r="A10" s="89" t="s">
        <v>1228</v>
      </c>
      <c r="B10" s="493" t="s">
        <v>2827</v>
      </c>
      <c r="C10" s="493"/>
      <c r="D10" s="493"/>
      <c r="E10" s="493"/>
      <c r="F10" s="493"/>
      <c r="G10" s="493"/>
      <c r="H10" s="493"/>
      <c r="I10" s="493"/>
      <c r="J10" s="493"/>
      <c r="K10" s="493"/>
      <c r="L10" s="493"/>
      <c r="M10" s="493"/>
    </row>
    <row r="11" spans="1:48" ht="166.2" customHeight="1">
      <c r="A11" s="89" t="s">
        <v>1229</v>
      </c>
      <c r="B11" s="493" t="s">
        <v>2828</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189"/>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4"/>
      <c r="C16" s="4"/>
      <c r="D16" s="4"/>
      <c r="E16" s="4"/>
      <c r="F16" s="4"/>
      <c r="G16" s="18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2:48" s="93" customFormat="1" ht="16.5" customHeight="1">
      <c r="B17" s="612" t="s">
        <v>1932</v>
      </c>
      <c r="C17" s="612"/>
      <c r="D17" s="612"/>
      <c r="E17" s="4"/>
      <c r="F17" s="4"/>
      <c r="G17" s="18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2:48" s="93" customFormat="1" ht="16.5" customHeight="1">
      <c r="B18" s="95" t="s">
        <v>1246</v>
      </c>
      <c r="C18" s="96" t="s">
        <v>1607</v>
      </c>
      <c r="D18" s="138" t="s">
        <v>2829</v>
      </c>
      <c r="G18" s="161"/>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2:48" s="93" customFormat="1" ht="16.5" customHeight="1">
      <c r="B19" s="111" t="s">
        <v>1375</v>
      </c>
      <c r="C19" s="100"/>
      <c r="D19" s="101"/>
      <c r="F19" s="95" t="s">
        <v>1730</v>
      </c>
      <c r="G19" s="97" t="s">
        <v>2830</v>
      </c>
      <c r="H19" s="104" t="s">
        <v>1238</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2:48" s="93" customFormat="1" ht="16.5" customHeight="1">
      <c r="B20" s="215" t="s">
        <v>1850</v>
      </c>
      <c r="C20" s="216" t="s">
        <v>1618</v>
      </c>
      <c r="D20" s="101">
        <v>1</v>
      </c>
      <c r="F20" s="270" t="s">
        <v>1847</v>
      </c>
      <c r="G20" s="107">
        <f>MATCH(F20,B20:B29,1)</f>
        <v>7</v>
      </c>
      <c r="H20" s="108" t="s">
        <v>2831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2:48" s="93" customFormat="1" ht="16.5" customHeight="1">
      <c r="B21" s="215" t="s">
        <v>1852</v>
      </c>
      <c r="C21" s="216" t="s">
        <v>1612</v>
      </c>
      <c r="D21" s="101">
        <v>2</v>
      </c>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2:48" ht="16.5" customHeight="1">
      <c r="B22" s="215" t="s">
        <v>1851</v>
      </c>
      <c r="C22" s="216" t="s">
        <v>1612</v>
      </c>
      <c r="D22" s="101">
        <v>3</v>
      </c>
      <c r="E22" s="93"/>
      <c r="F22" s="93"/>
      <c r="G22" s="93"/>
      <c r="H22" s="93"/>
      <c r="I22" s="93"/>
      <c r="J22" s="93"/>
    </row>
    <row r="23" spans="2:48" ht="16.5" customHeight="1">
      <c r="B23" s="215" t="s">
        <v>1849</v>
      </c>
      <c r="C23" s="216" t="s">
        <v>1618</v>
      </c>
      <c r="D23" s="101">
        <v>4</v>
      </c>
      <c r="E23" s="93"/>
      <c r="F23" s="93"/>
      <c r="G23" s="93"/>
      <c r="H23" s="93"/>
      <c r="I23" s="93"/>
      <c r="J23" s="93"/>
    </row>
    <row r="24" spans="2:48" ht="16.5" customHeight="1">
      <c r="B24" s="215" t="s">
        <v>1848</v>
      </c>
      <c r="C24" s="216" t="s">
        <v>1618</v>
      </c>
      <c r="D24" s="101">
        <v>5</v>
      </c>
      <c r="E24" s="93"/>
      <c r="F24" s="93"/>
      <c r="G24" s="93"/>
      <c r="H24" s="93"/>
      <c r="I24" s="93"/>
      <c r="J24" s="93"/>
    </row>
    <row r="25" spans="2:48" ht="16.5" customHeight="1">
      <c r="B25" s="215" t="s">
        <v>1854</v>
      </c>
      <c r="C25" s="216" t="s">
        <v>1618</v>
      </c>
      <c r="D25" s="101">
        <v>6</v>
      </c>
      <c r="E25" s="93"/>
      <c r="F25" s="93"/>
      <c r="G25" s="93"/>
      <c r="H25" s="93"/>
      <c r="I25" s="93"/>
      <c r="J25" s="93"/>
    </row>
    <row r="26" spans="2:48" ht="16.5" customHeight="1">
      <c r="B26" s="215" t="s">
        <v>1847</v>
      </c>
      <c r="C26" s="216" t="s">
        <v>1618</v>
      </c>
      <c r="D26" s="101">
        <v>7</v>
      </c>
      <c r="E26" s="93"/>
      <c r="F26" s="93"/>
      <c r="G26" s="93"/>
      <c r="H26" s="93"/>
      <c r="I26" s="93"/>
      <c r="J26" s="93"/>
    </row>
    <row r="27" spans="2:48" ht="16.5" customHeight="1">
      <c r="B27" s="215" t="s">
        <v>1843</v>
      </c>
      <c r="C27" s="216" t="s">
        <v>1618</v>
      </c>
      <c r="D27" s="101">
        <v>8</v>
      </c>
      <c r="E27" s="93"/>
      <c r="F27" s="93"/>
      <c r="G27" s="93"/>
      <c r="H27" s="93"/>
      <c r="I27" s="93"/>
      <c r="J27" s="93"/>
    </row>
    <row r="28" spans="2:48" ht="16.5" customHeight="1">
      <c r="B28" s="215" t="s">
        <v>1845</v>
      </c>
      <c r="C28" s="216" t="s">
        <v>1618</v>
      </c>
      <c r="D28" s="101">
        <v>9</v>
      </c>
      <c r="E28" s="93"/>
      <c r="F28" s="93"/>
      <c r="G28" s="93"/>
      <c r="H28" s="93"/>
      <c r="I28" s="93"/>
      <c r="J28" s="93"/>
    </row>
    <row r="29" spans="2:48" ht="16.5" customHeight="1">
      <c r="B29" s="215" t="s">
        <v>1853</v>
      </c>
      <c r="C29" s="216" t="s">
        <v>1618</v>
      </c>
      <c r="D29" s="101">
        <v>10</v>
      </c>
      <c r="E29" s="93"/>
      <c r="F29" s="93"/>
      <c r="G29" s="93"/>
      <c r="H29" s="93"/>
      <c r="I29" s="93"/>
      <c r="J29" s="93"/>
    </row>
    <row r="30" spans="2:48" ht="16.5" customHeight="1">
      <c r="B30" s="151" t="s">
        <v>1375</v>
      </c>
      <c r="C30" s="106"/>
      <c r="D30" s="107"/>
      <c r="E30" s="93"/>
      <c r="F30" s="93"/>
      <c r="G30" s="93"/>
      <c r="H30" s="93"/>
      <c r="I30" s="93"/>
      <c r="J30" s="93"/>
    </row>
    <row r="31" spans="2:48" ht="16.5" customHeight="1"/>
  </sheetData>
  <mergeCells count="19">
    <mergeCell ref="A1:C1"/>
    <mergeCell ref="E1:F1"/>
    <mergeCell ref="A2:B2"/>
    <mergeCell ref="C2:M2"/>
    <mergeCell ref="A3:B3"/>
    <mergeCell ref="C3:M3"/>
    <mergeCell ref="A4:B4"/>
    <mergeCell ref="C4:M4"/>
    <mergeCell ref="A5:B5"/>
    <mergeCell ref="C5:M5"/>
    <mergeCell ref="A6:B6"/>
    <mergeCell ref="C6:M6"/>
    <mergeCell ref="B17:D17"/>
    <mergeCell ref="C7:M7"/>
    <mergeCell ref="C8:M8"/>
    <mergeCell ref="C9:M9"/>
    <mergeCell ref="B10:M10"/>
    <mergeCell ref="B11:M11"/>
    <mergeCell ref="B12:L12"/>
  </mergeCells>
  <phoneticPr fontId="2" type="noConversion"/>
  <pageMargins left="0.75" right="0.75" top="1" bottom="1" header="0.5" footer="0.5"/>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AV31"/>
  <sheetViews>
    <sheetView workbookViewId="0">
      <selection activeCell="E1" sqref="E1:F1"/>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270</v>
      </c>
      <c r="B1" s="498"/>
      <c r="C1" s="499"/>
      <c r="D1" s="87"/>
      <c r="E1" s="500" t="str">
        <f>HYPERLINK("#目录!A154","跳转回到目录页")</f>
        <v>跳转回到目录页</v>
      </c>
      <c r="F1" s="501"/>
    </row>
    <row r="2" spans="1:13" s="88" customFormat="1" ht="26.25" customHeight="1">
      <c r="A2" s="502" t="s">
        <v>1216</v>
      </c>
      <c r="B2" s="502"/>
      <c r="C2" s="503" t="s">
        <v>271</v>
      </c>
      <c r="D2" s="503"/>
      <c r="E2" s="503"/>
      <c r="F2" s="503"/>
      <c r="G2" s="503"/>
      <c r="H2" s="503"/>
      <c r="I2" s="503"/>
      <c r="J2" s="503"/>
      <c r="K2" s="503"/>
      <c r="L2" s="503"/>
      <c r="M2" s="503"/>
    </row>
    <row r="3" spans="1:13" s="88" customFormat="1" ht="16.5" customHeight="1">
      <c r="A3" s="496" t="s">
        <v>1217</v>
      </c>
      <c r="B3" s="496"/>
      <c r="C3" s="493" t="s">
        <v>2832</v>
      </c>
      <c r="D3" s="493"/>
      <c r="E3" s="493"/>
      <c r="F3" s="493"/>
      <c r="G3" s="493"/>
      <c r="H3" s="493"/>
      <c r="I3" s="493"/>
      <c r="J3" s="493"/>
      <c r="K3" s="493"/>
      <c r="L3" s="493"/>
      <c r="M3" s="493"/>
    </row>
    <row r="4" spans="1:13" s="88" customFormat="1" ht="16.5" customHeight="1">
      <c r="A4" s="496" t="s">
        <v>5786</v>
      </c>
      <c r="B4" s="496"/>
      <c r="C4" s="497" t="s">
        <v>271</v>
      </c>
      <c r="D4" s="497"/>
      <c r="E4" s="497"/>
      <c r="F4" s="497"/>
      <c r="G4" s="497"/>
      <c r="H4" s="497"/>
      <c r="I4" s="497"/>
      <c r="J4" s="497"/>
      <c r="K4" s="497"/>
      <c r="L4" s="497"/>
      <c r="M4" s="497"/>
    </row>
    <row r="5" spans="1:13" s="88" customFormat="1" ht="16.5" customHeight="1">
      <c r="A5" s="496" t="s">
        <v>1220</v>
      </c>
      <c r="B5" s="496"/>
      <c r="C5" s="493" t="s">
        <v>2833</v>
      </c>
      <c r="D5" s="493"/>
      <c r="E5" s="493"/>
      <c r="F5" s="493"/>
      <c r="G5" s="493"/>
      <c r="H5" s="493"/>
      <c r="I5" s="493"/>
      <c r="J5" s="493"/>
      <c r="K5" s="493"/>
      <c r="L5" s="493"/>
      <c r="M5" s="493"/>
    </row>
    <row r="6" spans="1:13" s="88" customFormat="1" ht="16.5" customHeight="1">
      <c r="A6" s="496" t="s">
        <v>5785</v>
      </c>
      <c r="B6" s="496"/>
      <c r="C6" s="493" t="s">
        <v>2834</v>
      </c>
      <c r="D6" s="493"/>
      <c r="E6" s="493"/>
      <c r="F6" s="493"/>
      <c r="G6" s="493"/>
      <c r="H6" s="493"/>
      <c r="I6" s="493"/>
      <c r="J6" s="493"/>
      <c r="K6" s="493"/>
      <c r="L6" s="493"/>
      <c r="M6" s="493"/>
    </row>
    <row r="7" spans="1:13" s="88" customFormat="1" ht="26.4" customHeight="1">
      <c r="A7" s="89" t="s">
        <v>1223</v>
      </c>
      <c r="B7" s="92" t="s">
        <v>2835</v>
      </c>
      <c r="C7" s="493" t="s">
        <v>2836</v>
      </c>
      <c r="D7" s="493"/>
      <c r="E7" s="493"/>
      <c r="F7" s="493"/>
      <c r="G7" s="493"/>
      <c r="H7" s="493"/>
      <c r="I7" s="493"/>
      <c r="J7" s="493"/>
      <c r="K7" s="493"/>
      <c r="L7" s="493"/>
      <c r="M7" s="493"/>
    </row>
    <row r="8" spans="1:13" s="88" customFormat="1" ht="43.8" customHeight="1">
      <c r="A8" s="89"/>
      <c r="B8" s="92" t="s">
        <v>2837</v>
      </c>
      <c r="C8" s="509" t="s">
        <v>2838</v>
      </c>
      <c r="D8" s="509"/>
      <c r="E8" s="509"/>
      <c r="F8" s="509"/>
      <c r="G8" s="509"/>
      <c r="H8" s="509"/>
      <c r="I8" s="509"/>
      <c r="J8" s="509"/>
      <c r="K8" s="509"/>
      <c r="L8" s="509"/>
      <c r="M8" s="509"/>
    </row>
    <row r="9" spans="1:13" s="88" customFormat="1" ht="40.799999999999997" customHeight="1">
      <c r="A9" s="89"/>
      <c r="B9" s="92" t="s">
        <v>2839</v>
      </c>
      <c r="C9" s="509" t="s">
        <v>2840</v>
      </c>
      <c r="D9" s="509"/>
      <c r="E9" s="509"/>
      <c r="F9" s="509"/>
      <c r="G9" s="509"/>
      <c r="H9" s="509"/>
      <c r="I9" s="509"/>
      <c r="J9" s="509"/>
      <c r="K9" s="509"/>
      <c r="L9" s="509"/>
      <c r="M9" s="509"/>
    </row>
    <row r="10" spans="1:13" s="88" customFormat="1" ht="16.5" customHeight="1">
      <c r="A10" s="89"/>
      <c r="B10" s="92" t="s">
        <v>2841</v>
      </c>
      <c r="C10" s="493" t="s">
        <v>2842</v>
      </c>
      <c r="D10" s="493"/>
      <c r="E10" s="493"/>
      <c r="F10" s="493"/>
      <c r="G10" s="493"/>
      <c r="H10" s="493"/>
      <c r="I10" s="493"/>
      <c r="J10" s="493"/>
      <c r="K10" s="493"/>
      <c r="L10" s="493"/>
      <c r="M10" s="493"/>
    </row>
    <row r="11" spans="1:13" s="88" customFormat="1" ht="16.5" customHeight="1">
      <c r="A11" s="89"/>
      <c r="B11" s="90" t="s">
        <v>2843</v>
      </c>
      <c r="C11" s="493" t="s">
        <v>2844</v>
      </c>
      <c r="D11" s="493"/>
      <c r="E11" s="493"/>
      <c r="F11" s="493"/>
      <c r="G11" s="493"/>
      <c r="H11" s="493"/>
      <c r="I11" s="493"/>
      <c r="J11" s="493"/>
      <c r="K11" s="493"/>
      <c r="L11" s="493"/>
      <c r="M11" s="493"/>
    </row>
    <row r="12" spans="1:13" s="88" customFormat="1" ht="16.5" customHeight="1">
      <c r="A12" s="89" t="s">
        <v>1228</v>
      </c>
      <c r="B12" s="493"/>
      <c r="C12" s="493"/>
      <c r="D12" s="493"/>
      <c r="E12" s="493"/>
      <c r="F12" s="493"/>
      <c r="G12" s="493"/>
      <c r="H12" s="493"/>
      <c r="I12" s="493"/>
      <c r="J12" s="493"/>
      <c r="K12" s="493"/>
      <c r="L12" s="493"/>
      <c r="M12" s="493"/>
    </row>
    <row r="13" spans="1:13" ht="100.2" customHeight="1">
      <c r="A13" s="89" t="s">
        <v>1229</v>
      </c>
      <c r="B13" s="493" t="s">
        <v>2845</v>
      </c>
      <c r="C13" s="493"/>
      <c r="D13" s="493"/>
      <c r="E13" s="493"/>
      <c r="F13" s="493"/>
      <c r="G13" s="493"/>
      <c r="H13" s="493"/>
      <c r="I13" s="493"/>
      <c r="J13" s="493"/>
      <c r="K13" s="493"/>
      <c r="L13" s="493"/>
      <c r="M13" s="493"/>
    </row>
    <row r="14" spans="1:13" ht="21" customHeight="1">
      <c r="B14" s="494" t="s">
        <v>1231</v>
      </c>
      <c r="C14" s="494"/>
      <c r="D14" s="494"/>
      <c r="E14" s="494"/>
      <c r="F14" s="494"/>
      <c r="G14" s="494"/>
      <c r="H14" s="494"/>
      <c r="I14" s="494"/>
      <c r="J14" s="494"/>
      <c r="K14" s="494"/>
      <c r="L14" s="495"/>
    </row>
    <row r="15" spans="1:13" s="93" customFormat="1" ht="16.5" customHeight="1"/>
    <row r="16" spans="1:13" s="93" customFormat="1" ht="16.5" customHeight="1">
      <c r="A16" s="94" t="s">
        <v>1232</v>
      </c>
      <c r="B16" s="93" t="s">
        <v>1773</v>
      </c>
    </row>
    <row r="17" spans="1:48" s="93" customFormat="1" ht="16.5" customHeight="1">
      <c r="A17" s="94"/>
      <c r="G17" s="189"/>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578" t="s">
        <v>2846</v>
      </c>
      <c r="C18" s="578"/>
      <c r="D18" s="578"/>
      <c r="E18" s="578"/>
      <c r="G18" s="189"/>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5" t="s">
        <v>1246</v>
      </c>
      <c r="C19" s="96" t="s">
        <v>1607</v>
      </c>
      <c r="D19" s="213">
        <v>40544</v>
      </c>
      <c r="E19" s="266">
        <v>40545</v>
      </c>
      <c r="G19" s="161"/>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1375</v>
      </c>
      <c r="C20" s="100"/>
      <c r="D20" s="100" t="s">
        <v>1375</v>
      </c>
      <c r="E20" s="101"/>
      <c r="F20" s="95" t="s">
        <v>1246</v>
      </c>
      <c r="G20" s="267">
        <v>40544</v>
      </c>
      <c r="H20" s="104" t="s">
        <v>1238</v>
      </c>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215" t="s">
        <v>1850</v>
      </c>
      <c r="C21" s="216" t="s">
        <v>1618</v>
      </c>
      <c r="D21" s="110">
        <v>562</v>
      </c>
      <c r="E21" s="101">
        <v>366</v>
      </c>
      <c r="F21" s="151" t="s">
        <v>1847</v>
      </c>
      <c r="G21" s="268">
        <f ca="1">OFFSET(B21,6,2)</f>
        <v>862</v>
      </c>
      <c r="H21" s="108" t="s">
        <v>2847</v>
      </c>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215" t="s">
        <v>1852</v>
      </c>
      <c r="C22" s="216" t="s">
        <v>1612</v>
      </c>
      <c r="D22" s="110">
        <v>456</v>
      </c>
      <c r="E22" s="101">
        <v>372</v>
      </c>
      <c r="G22" s="94" t="s">
        <v>2848</v>
      </c>
      <c r="H22" s="93" t="s">
        <v>2849</v>
      </c>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215" t="s">
        <v>1851</v>
      </c>
      <c r="C23" s="216" t="s">
        <v>1612</v>
      </c>
      <c r="D23" s="110">
        <v>412</v>
      </c>
      <c r="E23" s="101">
        <v>329</v>
      </c>
      <c r="H23" s="93" t="s">
        <v>2850</v>
      </c>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215" t="s">
        <v>1849</v>
      </c>
      <c r="C24" s="216" t="s">
        <v>1618</v>
      </c>
      <c r="D24" s="110">
        <v>231</v>
      </c>
      <c r="E24" s="101">
        <v>188</v>
      </c>
      <c r="H24" s="93" t="s">
        <v>2851</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215" t="s">
        <v>1848</v>
      </c>
      <c r="C25" s="216" t="s">
        <v>1618</v>
      </c>
      <c r="D25" s="110">
        <v>451</v>
      </c>
      <c r="E25" s="101">
        <v>356</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215" t="s">
        <v>1854</v>
      </c>
      <c r="C26" s="216" t="s">
        <v>1618</v>
      </c>
      <c r="D26" s="110">
        <v>362</v>
      </c>
      <c r="E26" s="101">
        <v>150</v>
      </c>
      <c r="F26" s="95" t="s">
        <v>1246</v>
      </c>
      <c r="G26" s="269" t="s">
        <v>2814</v>
      </c>
      <c r="H26" s="104" t="s">
        <v>1238</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215" t="s">
        <v>1847</v>
      </c>
      <c r="C27" s="216" t="s">
        <v>1618</v>
      </c>
      <c r="D27" s="110">
        <v>862</v>
      </c>
      <c r="E27" s="101">
        <v>596</v>
      </c>
      <c r="F27" s="151" t="s">
        <v>1847</v>
      </c>
      <c r="G27" s="268">
        <f ca="1">SUM(OFFSET(B21,6,2,1,2))</f>
        <v>1458</v>
      </c>
      <c r="H27" s="108" t="s">
        <v>2852</v>
      </c>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215" t="s">
        <v>1843</v>
      </c>
      <c r="C28" s="216" t="s">
        <v>1618</v>
      </c>
      <c r="D28" s="110">
        <v>308</v>
      </c>
      <c r="E28" s="101">
        <v>428</v>
      </c>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215" t="s">
        <v>1845</v>
      </c>
      <c r="C29" s="216" t="s">
        <v>1618</v>
      </c>
      <c r="D29" s="110">
        <v>265</v>
      </c>
      <c r="E29" s="101">
        <v>168</v>
      </c>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215" t="s">
        <v>1853</v>
      </c>
      <c r="C30" s="216" t="s">
        <v>1618</v>
      </c>
      <c r="D30" s="110">
        <v>256</v>
      </c>
      <c r="E30" s="101">
        <v>98</v>
      </c>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151" t="s">
        <v>1375</v>
      </c>
      <c r="C31" s="106"/>
      <c r="D31" s="106" t="s">
        <v>1375</v>
      </c>
      <c r="E31" s="107"/>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sheetData>
  <mergeCells count="21">
    <mergeCell ref="A1:C1"/>
    <mergeCell ref="E1:F1"/>
    <mergeCell ref="A2:B2"/>
    <mergeCell ref="C2:M2"/>
    <mergeCell ref="A3:B3"/>
    <mergeCell ref="C3:M3"/>
    <mergeCell ref="A4:B4"/>
    <mergeCell ref="C4:M4"/>
    <mergeCell ref="A5:B5"/>
    <mergeCell ref="C5:M5"/>
    <mergeCell ref="A6:B6"/>
    <mergeCell ref="C6:M6"/>
    <mergeCell ref="B13:M13"/>
    <mergeCell ref="B14:L14"/>
    <mergeCell ref="B18:E18"/>
    <mergeCell ref="C7:M7"/>
    <mergeCell ref="C8:M8"/>
    <mergeCell ref="C9:M9"/>
    <mergeCell ref="C10:M10"/>
    <mergeCell ref="C11:M11"/>
    <mergeCell ref="B12:M12"/>
  </mergeCells>
  <phoneticPr fontId="2" type="noConversion"/>
  <pageMargins left="0.75" right="0.75" top="1" bottom="1" header="0.5" footer="0.5"/>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AV129"/>
  <sheetViews>
    <sheetView topLeftCell="A97" workbookViewId="0">
      <selection activeCell="E100" sqref="E100:F100"/>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272</v>
      </c>
      <c r="B1" s="498"/>
      <c r="C1" s="499"/>
      <c r="D1" s="87"/>
      <c r="E1" s="500" t="str">
        <f>HYPERLINK("#目录!A155","跳转回到目录页")</f>
        <v>跳转回到目录页</v>
      </c>
      <c r="F1" s="501"/>
    </row>
    <row r="2" spans="1:48" s="88" customFormat="1" ht="26.25" customHeight="1">
      <c r="A2" s="502" t="s">
        <v>1216</v>
      </c>
      <c r="B2" s="502"/>
      <c r="C2" s="503" t="s">
        <v>273</v>
      </c>
      <c r="D2" s="503"/>
      <c r="E2" s="503"/>
      <c r="F2" s="503"/>
      <c r="G2" s="503"/>
      <c r="H2" s="503"/>
      <c r="I2" s="503"/>
      <c r="J2" s="503"/>
      <c r="K2" s="503"/>
      <c r="L2" s="503"/>
      <c r="M2" s="503"/>
    </row>
    <row r="3" spans="1:48" s="88" customFormat="1" ht="16.5" customHeight="1">
      <c r="A3" s="496" t="s">
        <v>1217</v>
      </c>
      <c r="B3" s="496"/>
      <c r="C3" s="493" t="s">
        <v>2853</v>
      </c>
      <c r="D3" s="493"/>
      <c r="E3" s="493"/>
      <c r="F3" s="493"/>
      <c r="G3" s="493"/>
      <c r="H3" s="493"/>
      <c r="I3" s="493"/>
      <c r="J3" s="493"/>
      <c r="K3" s="493"/>
      <c r="L3" s="493"/>
      <c r="M3" s="493"/>
    </row>
    <row r="4" spans="1:48" s="88" customFormat="1" ht="16.5" customHeight="1">
      <c r="A4" s="496" t="s">
        <v>5786</v>
      </c>
      <c r="B4" s="496"/>
      <c r="C4" s="497" t="s">
        <v>273</v>
      </c>
      <c r="D4" s="497"/>
      <c r="E4" s="497"/>
      <c r="F4" s="497"/>
      <c r="G4" s="497"/>
      <c r="H4" s="497"/>
      <c r="I4" s="497"/>
      <c r="J4" s="497"/>
      <c r="K4" s="497"/>
      <c r="L4" s="497"/>
      <c r="M4" s="497"/>
    </row>
    <row r="5" spans="1:48" s="88" customFormat="1" ht="16.5" customHeight="1">
      <c r="A5" s="496" t="s">
        <v>1220</v>
      </c>
      <c r="B5" s="496"/>
      <c r="C5" s="493" t="s">
        <v>2854</v>
      </c>
      <c r="D5" s="493"/>
      <c r="E5" s="493"/>
      <c r="F5" s="493"/>
      <c r="G5" s="493"/>
      <c r="H5" s="493"/>
      <c r="I5" s="493"/>
      <c r="J5" s="493"/>
      <c r="K5" s="493"/>
      <c r="L5" s="493"/>
      <c r="M5" s="493"/>
    </row>
    <row r="6" spans="1:48" s="88" customFormat="1" ht="16.5" customHeight="1">
      <c r="A6" s="496" t="s">
        <v>5785</v>
      </c>
      <c r="B6" s="496"/>
      <c r="C6" s="493" t="s">
        <v>2855</v>
      </c>
      <c r="D6" s="493"/>
      <c r="E6" s="493"/>
      <c r="F6" s="493"/>
      <c r="G6" s="493"/>
      <c r="H6" s="493"/>
      <c r="I6" s="493"/>
      <c r="J6" s="493"/>
      <c r="K6" s="493"/>
      <c r="L6" s="493"/>
      <c r="M6" s="493"/>
    </row>
    <row r="7" spans="1:48" s="88" customFormat="1" ht="40.799999999999997" customHeight="1">
      <c r="A7" s="89" t="s">
        <v>1223</v>
      </c>
      <c r="B7" s="92" t="s">
        <v>2568</v>
      </c>
      <c r="C7" s="493" t="s">
        <v>2856</v>
      </c>
      <c r="D7" s="493"/>
      <c r="E7" s="493"/>
      <c r="F7" s="493"/>
      <c r="G7" s="493"/>
      <c r="H7" s="493"/>
      <c r="I7" s="493"/>
      <c r="J7" s="493"/>
      <c r="K7" s="493"/>
      <c r="L7" s="493"/>
      <c r="M7" s="493"/>
    </row>
    <row r="8" spans="1:48" s="88" customFormat="1" ht="22.2" customHeight="1">
      <c r="A8" s="89"/>
      <c r="B8" s="92" t="s">
        <v>2857</v>
      </c>
      <c r="C8" s="493" t="s">
        <v>2858</v>
      </c>
      <c r="D8" s="493"/>
      <c r="E8" s="493"/>
      <c r="F8" s="493"/>
      <c r="G8" s="493"/>
      <c r="H8" s="493"/>
      <c r="I8" s="493"/>
      <c r="J8" s="493"/>
      <c r="K8" s="493"/>
      <c r="L8" s="493"/>
      <c r="M8" s="493"/>
    </row>
    <row r="9" spans="1:48" s="88" customFormat="1" ht="24.75" customHeight="1">
      <c r="A9" s="89"/>
      <c r="B9" s="90" t="s">
        <v>2859</v>
      </c>
      <c r="C9" s="493" t="s">
        <v>2860</v>
      </c>
      <c r="D9" s="493"/>
      <c r="E9" s="493"/>
      <c r="F9" s="493"/>
      <c r="G9" s="493"/>
      <c r="H9" s="493"/>
      <c r="I9" s="493"/>
      <c r="J9" s="493"/>
      <c r="K9" s="493"/>
      <c r="L9" s="493"/>
      <c r="M9" s="493"/>
    </row>
    <row r="10" spans="1:48" s="88" customFormat="1" ht="60" customHeight="1">
      <c r="A10" s="89" t="s">
        <v>1228</v>
      </c>
      <c r="B10" s="493" t="s">
        <v>2861</v>
      </c>
      <c r="C10" s="493"/>
      <c r="D10" s="493"/>
      <c r="E10" s="493"/>
      <c r="F10" s="493"/>
      <c r="G10" s="493"/>
      <c r="H10" s="493"/>
      <c r="I10" s="493"/>
      <c r="J10" s="493"/>
      <c r="K10" s="493"/>
      <c r="L10" s="493"/>
      <c r="M10" s="493"/>
    </row>
    <row r="11" spans="1:48" ht="73.8" customHeight="1">
      <c r="A11" s="89" t="s">
        <v>1229</v>
      </c>
      <c r="B11" s="493" t="s">
        <v>2862</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c r="G14" s="219"/>
    </row>
    <row r="15" spans="1:48" s="93" customFormat="1" ht="16.5" customHeight="1">
      <c r="G15" s="189"/>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G16" s="189"/>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2:48" s="93" customFormat="1" ht="16.5" customHeight="1">
      <c r="B17" s="175"/>
      <c r="C17" s="175"/>
      <c r="D17" s="175"/>
      <c r="E17" s="175"/>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2:48" s="93" customFormat="1" ht="16.5" customHeight="1">
      <c r="B18" s="94"/>
      <c r="C18" s="94"/>
      <c r="E18" s="9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2:48" s="93" customFormat="1" ht="16.5" customHeight="1">
      <c r="G19" s="94"/>
      <c r="H19" s="9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2:48" s="93" customFormat="1" ht="16.5" customHeight="1">
      <c r="G20" s="94"/>
      <c r="I20" s="4"/>
      <c r="J20" s="10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2:48" s="93" customFormat="1" ht="16.5" customHeight="1">
      <c r="I21" s="4"/>
      <c r="J21" s="158"/>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2:48" s="93" customFormat="1" ht="16.5" customHeight="1">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2:48" s="93" customFormat="1" ht="16.5" customHeight="1">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2:48" s="93" customFormat="1" ht="16.5" customHeight="1">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2:48" s="93" customFormat="1" ht="16.5" customHeight="1">
      <c r="H25" s="161"/>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2:48" s="93" customFormat="1" ht="16.5" customHeight="1">
      <c r="H26" s="161"/>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2:48" s="93" customFormat="1" ht="16.5" customHeight="1">
      <c r="H27" s="161"/>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2:48">
      <c r="B28" s="93"/>
      <c r="C28" s="93"/>
      <c r="D28" s="93"/>
      <c r="E28" s="93"/>
      <c r="F28" s="93"/>
      <c r="G28" s="93"/>
      <c r="H28" s="93"/>
    </row>
    <row r="100" spans="1:13" s="88" customFormat="1" ht="26.25" customHeight="1">
      <c r="A100" s="498" t="s">
        <v>272</v>
      </c>
      <c r="B100" s="498"/>
      <c r="C100" s="499"/>
      <c r="D100" s="87"/>
      <c r="E100" s="500" t="str">
        <f>HYPERLINK("#目录!A156","跳转回到目录页")</f>
        <v>跳转回到目录页</v>
      </c>
      <c r="F100" s="501"/>
    </row>
    <row r="101" spans="1:13" s="88" customFormat="1" ht="26.25" customHeight="1">
      <c r="A101" s="502" t="s">
        <v>1216</v>
      </c>
      <c r="B101" s="502"/>
      <c r="C101" s="503" t="s">
        <v>274</v>
      </c>
      <c r="D101" s="503"/>
      <c r="E101" s="503"/>
      <c r="F101" s="503"/>
      <c r="G101" s="503"/>
      <c r="H101" s="503"/>
      <c r="I101" s="503"/>
      <c r="J101" s="503"/>
      <c r="K101" s="503"/>
      <c r="L101" s="503"/>
      <c r="M101" s="503"/>
    </row>
    <row r="102" spans="1:13" s="88" customFormat="1" ht="24.75" customHeight="1">
      <c r="A102" s="496" t="s">
        <v>1217</v>
      </c>
      <c r="B102" s="496"/>
      <c r="C102" s="493" t="s">
        <v>2864</v>
      </c>
      <c r="D102" s="493"/>
      <c r="E102" s="493"/>
      <c r="F102" s="493"/>
      <c r="G102" s="493"/>
      <c r="H102" s="493"/>
      <c r="I102" s="493"/>
      <c r="J102" s="493"/>
      <c r="K102" s="493"/>
      <c r="L102" s="493"/>
      <c r="M102" s="493"/>
    </row>
    <row r="103" spans="1:13" s="88" customFormat="1" ht="16.5" customHeight="1">
      <c r="A103" s="496" t="s">
        <v>5786</v>
      </c>
      <c r="B103" s="496"/>
      <c r="C103" s="497" t="s">
        <v>2865</v>
      </c>
      <c r="D103" s="497"/>
      <c r="E103" s="497"/>
      <c r="F103" s="497"/>
      <c r="G103" s="497"/>
      <c r="H103" s="497"/>
      <c r="I103" s="497"/>
      <c r="J103" s="497"/>
      <c r="K103" s="497"/>
      <c r="L103" s="497"/>
      <c r="M103" s="497"/>
    </row>
    <row r="104" spans="1:13" s="88" customFormat="1" ht="16.5" customHeight="1">
      <c r="A104" s="496" t="s">
        <v>1220</v>
      </c>
      <c r="B104" s="496"/>
      <c r="C104" s="493" t="s">
        <v>2866</v>
      </c>
      <c r="D104" s="493"/>
      <c r="E104" s="493"/>
      <c r="F104" s="493"/>
      <c r="G104" s="493"/>
      <c r="H104" s="493"/>
      <c r="I104" s="493"/>
      <c r="J104" s="493"/>
      <c r="K104" s="493"/>
      <c r="L104" s="493"/>
      <c r="M104" s="493"/>
    </row>
    <row r="105" spans="1:13" s="88" customFormat="1" ht="25.2" customHeight="1">
      <c r="A105" s="496" t="s">
        <v>5785</v>
      </c>
      <c r="B105" s="496"/>
      <c r="C105" s="493" t="s">
        <v>2867</v>
      </c>
      <c r="D105" s="493"/>
      <c r="E105" s="493"/>
      <c r="F105" s="493"/>
      <c r="G105" s="493"/>
      <c r="H105" s="493"/>
      <c r="I105" s="493"/>
      <c r="J105" s="493"/>
      <c r="K105" s="493"/>
      <c r="L105" s="493"/>
      <c r="M105" s="493"/>
    </row>
    <row r="106" spans="1:13" s="88" customFormat="1" ht="43.2" customHeight="1">
      <c r="A106" s="89" t="s">
        <v>1223</v>
      </c>
      <c r="B106" s="92" t="s">
        <v>2835</v>
      </c>
      <c r="C106" s="493" t="s">
        <v>2868</v>
      </c>
      <c r="D106" s="493"/>
      <c r="E106" s="493"/>
      <c r="F106" s="493"/>
      <c r="G106" s="493"/>
      <c r="H106" s="493"/>
      <c r="I106" s="493"/>
      <c r="J106" s="493"/>
      <c r="K106" s="493"/>
      <c r="L106" s="493"/>
      <c r="M106" s="493"/>
    </row>
    <row r="107" spans="1:13" s="88" customFormat="1" ht="16.5" customHeight="1">
      <c r="A107" s="89"/>
      <c r="B107" s="92" t="s">
        <v>2857</v>
      </c>
      <c r="C107" s="493" t="s">
        <v>2869</v>
      </c>
      <c r="D107" s="493"/>
      <c r="E107" s="493"/>
      <c r="F107" s="493"/>
      <c r="G107" s="493"/>
      <c r="H107" s="493"/>
      <c r="I107" s="493"/>
      <c r="J107" s="493"/>
      <c r="K107" s="493"/>
      <c r="L107" s="493"/>
      <c r="M107" s="493"/>
    </row>
    <row r="108" spans="1:13" s="88" customFormat="1" ht="24.75" customHeight="1">
      <c r="A108" s="89"/>
      <c r="B108" s="90" t="s">
        <v>2859</v>
      </c>
      <c r="C108" s="493" t="s">
        <v>2870</v>
      </c>
      <c r="D108" s="493"/>
      <c r="E108" s="493"/>
      <c r="F108" s="493"/>
      <c r="G108" s="493"/>
      <c r="H108" s="493"/>
      <c r="I108" s="493"/>
      <c r="J108" s="493"/>
      <c r="K108" s="493"/>
      <c r="L108" s="493"/>
      <c r="M108" s="493"/>
    </row>
    <row r="109" spans="1:13" s="88" customFormat="1" ht="24.75" customHeight="1">
      <c r="A109" s="89"/>
      <c r="B109" s="90" t="s">
        <v>2871</v>
      </c>
      <c r="C109" s="509" t="s">
        <v>2872</v>
      </c>
      <c r="D109" s="509"/>
      <c r="E109" s="509"/>
      <c r="F109" s="509"/>
      <c r="G109" s="509"/>
      <c r="H109" s="509"/>
      <c r="I109" s="509"/>
      <c r="J109" s="509"/>
      <c r="K109" s="509"/>
      <c r="L109" s="509"/>
      <c r="M109" s="509"/>
    </row>
    <row r="110" spans="1:13" s="88" customFormat="1" ht="16.5" customHeight="1">
      <c r="A110" s="89" t="s">
        <v>1228</v>
      </c>
      <c r="B110" s="493"/>
      <c r="C110" s="493"/>
      <c r="D110" s="493"/>
      <c r="E110" s="493"/>
      <c r="F110" s="493"/>
      <c r="G110" s="493"/>
      <c r="H110" s="493"/>
      <c r="I110" s="493"/>
      <c r="J110" s="493"/>
      <c r="K110" s="493"/>
      <c r="L110" s="493"/>
      <c r="M110" s="493"/>
    </row>
    <row r="111" spans="1:13" ht="127.2" customHeight="1">
      <c r="A111" s="89" t="s">
        <v>1229</v>
      </c>
      <c r="B111" s="493" t="s">
        <v>2873</v>
      </c>
      <c r="C111" s="493"/>
      <c r="D111" s="493"/>
      <c r="E111" s="493"/>
      <c r="F111" s="493"/>
      <c r="G111" s="493"/>
      <c r="H111" s="493"/>
      <c r="I111" s="493"/>
      <c r="J111" s="493"/>
      <c r="K111" s="493"/>
      <c r="L111" s="493"/>
      <c r="M111" s="493"/>
    </row>
    <row r="112" spans="1:13" ht="21" customHeight="1">
      <c r="B112" s="494" t="s">
        <v>2863</v>
      </c>
      <c r="C112" s="494"/>
      <c r="D112" s="494"/>
      <c r="E112" s="494"/>
      <c r="F112" s="494"/>
      <c r="G112" s="494"/>
      <c r="H112" s="494"/>
      <c r="I112" s="494"/>
      <c r="J112" s="494"/>
      <c r="K112" s="494"/>
      <c r="L112" s="495"/>
    </row>
    <row r="113" spans="1:10" s="93" customFormat="1" ht="16.5" customHeight="1"/>
    <row r="114" spans="1:10" s="93" customFormat="1" ht="16.5" customHeight="1">
      <c r="A114" s="94" t="s">
        <v>1232</v>
      </c>
      <c r="B114" s="93" t="s">
        <v>1773</v>
      </c>
    </row>
    <row r="115" spans="1:10" ht="16.5" customHeight="1">
      <c r="G115" s="189"/>
    </row>
    <row r="116" spans="1:10" ht="16.5" customHeight="1">
      <c r="G116" s="189"/>
    </row>
    <row r="117" spans="1:10" ht="16.5" customHeight="1">
      <c r="B117" s="93"/>
      <c r="C117" s="93"/>
      <c r="D117" s="93"/>
      <c r="E117" s="93"/>
      <c r="F117" s="93"/>
      <c r="G117" s="189"/>
      <c r="H117" s="93"/>
      <c r="I117" s="93"/>
      <c r="J117" s="93"/>
    </row>
    <row r="118" spans="1:10" ht="16.5" customHeight="1">
      <c r="B118" s="632" t="s">
        <v>1649</v>
      </c>
      <c r="C118" s="632"/>
      <c r="D118" s="632"/>
      <c r="E118" s="632"/>
      <c r="F118" s="93"/>
      <c r="G118" s="93" t="s">
        <v>2761</v>
      </c>
      <c r="H118" s="93"/>
      <c r="I118" s="93"/>
      <c r="J118" s="93"/>
    </row>
    <row r="119" spans="1:10" ht="16.5" customHeight="1">
      <c r="B119" s="95" t="s">
        <v>1650</v>
      </c>
      <c r="C119" s="96" t="s">
        <v>1680</v>
      </c>
      <c r="D119" s="188" t="s">
        <v>1657</v>
      </c>
      <c r="E119" s="97" t="s">
        <v>1681</v>
      </c>
      <c r="F119" s="93"/>
      <c r="G119" s="93"/>
      <c r="H119" s="93"/>
      <c r="I119" s="93"/>
      <c r="J119" s="93"/>
    </row>
    <row r="120" spans="1:10" ht="16.5" customHeight="1">
      <c r="B120" s="99" t="s">
        <v>1651</v>
      </c>
      <c r="C120" s="110">
        <v>3</v>
      </c>
      <c r="D120" s="110">
        <v>139</v>
      </c>
      <c r="E120" s="101">
        <f>C120*D120</f>
        <v>417</v>
      </c>
      <c r="F120" s="93"/>
      <c r="G120" s="95" t="s">
        <v>1650</v>
      </c>
      <c r="H120" s="97" t="s">
        <v>1682</v>
      </c>
      <c r="I120" s="93"/>
      <c r="J120" s="93"/>
    </row>
    <row r="121" spans="1:10" ht="16.5" customHeight="1">
      <c r="B121" s="99" t="s">
        <v>1652</v>
      </c>
      <c r="C121" s="110">
        <v>6</v>
      </c>
      <c r="D121" s="110">
        <v>35</v>
      </c>
      <c r="E121" s="101">
        <f t="shared" ref="E121:E128" si="0">C121*D121</f>
        <v>210</v>
      </c>
      <c r="F121" s="93"/>
      <c r="G121" s="151" t="s">
        <v>1657</v>
      </c>
      <c r="H121" s="107">
        <f>VLOOKUP(H120,B120:D128,3,0)</f>
        <v>99</v>
      </c>
    </row>
    <row r="122" spans="1:10" ht="16.5" customHeight="1">
      <c r="B122" s="99" t="s">
        <v>1653</v>
      </c>
      <c r="C122" s="110">
        <v>2</v>
      </c>
      <c r="D122" s="110">
        <v>186</v>
      </c>
      <c r="E122" s="101">
        <f t="shared" si="0"/>
        <v>372</v>
      </c>
      <c r="F122" s="93"/>
      <c r="G122" s="93"/>
      <c r="H122" s="93"/>
    </row>
    <row r="123" spans="1:10" ht="16.5" customHeight="1">
      <c r="B123" s="99" t="s">
        <v>1682</v>
      </c>
      <c r="C123" s="110">
        <v>5</v>
      </c>
      <c r="D123" s="110">
        <v>99</v>
      </c>
      <c r="E123" s="101">
        <f t="shared" si="0"/>
        <v>495</v>
      </c>
      <c r="F123" s="93"/>
      <c r="G123" s="93"/>
      <c r="H123" s="104" t="s">
        <v>1238</v>
      </c>
    </row>
    <row r="124" spans="1:10" ht="16.5" customHeight="1">
      <c r="B124" s="99" t="s">
        <v>1654</v>
      </c>
      <c r="C124" s="110">
        <v>1</v>
      </c>
      <c r="D124" s="110">
        <v>358</v>
      </c>
      <c r="E124" s="101">
        <f t="shared" si="0"/>
        <v>358</v>
      </c>
      <c r="F124" s="93"/>
      <c r="G124" s="93">
        <f>INDEX((B120:D128,G120:H121),2,2,2)</f>
        <v>99</v>
      </c>
      <c r="H124" s="108" t="s">
        <v>2874</v>
      </c>
    </row>
    <row r="125" spans="1:10" ht="16.5" customHeight="1">
      <c r="B125" s="99" t="s">
        <v>1655</v>
      </c>
      <c r="C125" s="110">
        <v>3</v>
      </c>
      <c r="D125" s="110">
        <v>68</v>
      </c>
      <c r="E125" s="101">
        <f t="shared" si="0"/>
        <v>204</v>
      </c>
      <c r="F125" s="93"/>
      <c r="G125" s="93"/>
      <c r="H125" s="93"/>
    </row>
    <row r="126" spans="1:10" ht="16.5" customHeight="1">
      <c r="B126" s="99" t="s">
        <v>1683</v>
      </c>
      <c r="C126" s="110">
        <v>8</v>
      </c>
      <c r="D126" s="110">
        <v>29</v>
      </c>
      <c r="E126" s="101">
        <f t="shared" si="0"/>
        <v>232</v>
      </c>
      <c r="F126" s="93"/>
      <c r="G126" s="93"/>
      <c r="H126" s="161"/>
    </row>
    <row r="127" spans="1:10" ht="16.5" customHeight="1">
      <c r="B127" s="99" t="s">
        <v>1684</v>
      </c>
      <c r="C127" s="110">
        <v>4</v>
      </c>
      <c r="D127" s="110">
        <v>209</v>
      </c>
      <c r="E127" s="101">
        <f t="shared" si="0"/>
        <v>836</v>
      </c>
      <c r="F127" s="93"/>
      <c r="G127" s="93"/>
      <c r="H127" s="161"/>
    </row>
    <row r="128" spans="1:10" ht="16.5" customHeight="1">
      <c r="B128" s="105" t="s">
        <v>1656</v>
      </c>
      <c r="C128" s="113">
        <v>2</v>
      </c>
      <c r="D128" s="113">
        <v>169</v>
      </c>
      <c r="E128" s="107">
        <f t="shared" si="0"/>
        <v>338</v>
      </c>
      <c r="F128" s="93"/>
      <c r="G128" s="93"/>
      <c r="H128" s="161"/>
    </row>
    <row r="129" spans="2:8" ht="16.5" customHeight="1">
      <c r="B129" s="93"/>
      <c r="C129" s="93"/>
      <c r="D129" s="93"/>
      <c r="E129" s="93"/>
      <c r="F129" s="93"/>
      <c r="G129" s="93"/>
      <c r="H129" s="93"/>
    </row>
  </sheetData>
  <mergeCells count="38">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A103:B103"/>
    <mergeCell ref="C103:M103"/>
    <mergeCell ref="A104:B104"/>
    <mergeCell ref="C104:M104"/>
    <mergeCell ref="A105:B105"/>
    <mergeCell ref="C105:M105"/>
    <mergeCell ref="B112:L112"/>
    <mergeCell ref="B118:E118"/>
    <mergeCell ref="C106:M106"/>
    <mergeCell ref="C107:M107"/>
    <mergeCell ref="C108:M108"/>
    <mergeCell ref="C109:M109"/>
    <mergeCell ref="B110:M110"/>
    <mergeCell ref="B111:M111"/>
  </mergeCells>
  <phoneticPr fontId="2" type="noConversion"/>
  <pageMargins left="0.75" right="0.75" top="1" bottom="1" header="0.5" footer="0.5"/>
  <headerFooter scaleWithDoc="0"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AV127"/>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276</v>
      </c>
      <c r="B1" s="498"/>
      <c r="C1" s="499"/>
      <c r="D1" s="87"/>
      <c r="E1" s="500" t="str">
        <f>HYPERLINK("#目录!A158","跳转回到目录页")</f>
        <v>跳转回到目录页</v>
      </c>
      <c r="F1" s="501"/>
    </row>
    <row r="2" spans="1:48" s="88" customFormat="1" ht="26.25" customHeight="1">
      <c r="A2" s="502" t="s">
        <v>1216</v>
      </c>
      <c r="B2" s="502"/>
      <c r="C2" s="503" t="s">
        <v>277</v>
      </c>
      <c r="D2" s="503"/>
      <c r="E2" s="503"/>
      <c r="F2" s="503"/>
      <c r="G2" s="503"/>
      <c r="H2" s="503"/>
      <c r="I2" s="503"/>
      <c r="J2" s="503"/>
      <c r="K2" s="503"/>
      <c r="L2" s="503"/>
      <c r="M2" s="503"/>
    </row>
    <row r="3" spans="1:48" s="88" customFormat="1" ht="16.5" customHeight="1">
      <c r="A3" s="496" t="s">
        <v>1217</v>
      </c>
      <c r="B3" s="496"/>
      <c r="C3" s="493" t="s">
        <v>2875</v>
      </c>
      <c r="D3" s="493"/>
      <c r="E3" s="493"/>
      <c r="F3" s="493"/>
      <c r="G3" s="493"/>
      <c r="H3" s="493"/>
      <c r="I3" s="493"/>
      <c r="J3" s="493"/>
      <c r="K3" s="493"/>
      <c r="L3" s="493"/>
      <c r="M3" s="493"/>
    </row>
    <row r="4" spans="1:48" s="88" customFormat="1" ht="16.5" customHeight="1">
      <c r="A4" s="496" t="s">
        <v>5786</v>
      </c>
      <c r="B4" s="496"/>
      <c r="C4" s="497" t="s">
        <v>277</v>
      </c>
      <c r="D4" s="497"/>
      <c r="E4" s="497"/>
      <c r="F4" s="497"/>
      <c r="G4" s="497"/>
      <c r="H4" s="497"/>
      <c r="I4" s="497"/>
      <c r="J4" s="497"/>
      <c r="K4" s="497"/>
      <c r="L4" s="497"/>
      <c r="M4" s="497"/>
    </row>
    <row r="5" spans="1:48" s="88" customFormat="1" ht="16.5" customHeight="1">
      <c r="A5" s="496" t="s">
        <v>1220</v>
      </c>
      <c r="B5" s="496"/>
      <c r="C5" s="493" t="s">
        <v>2876</v>
      </c>
      <c r="D5" s="493"/>
      <c r="E5" s="493"/>
      <c r="F5" s="493"/>
      <c r="G5" s="493"/>
      <c r="H5" s="493"/>
      <c r="I5" s="493"/>
      <c r="J5" s="493"/>
      <c r="K5" s="493"/>
      <c r="L5" s="493"/>
      <c r="M5" s="493"/>
    </row>
    <row r="6" spans="1:48" s="88" customFormat="1" ht="16.5" customHeight="1">
      <c r="A6" s="496" t="s">
        <v>5785</v>
      </c>
      <c r="B6" s="496"/>
      <c r="C6" s="493" t="s">
        <v>2877</v>
      </c>
      <c r="D6" s="493"/>
      <c r="E6" s="493"/>
      <c r="F6" s="493"/>
      <c r="G6" s="493"/>
      <c r="H6" s="493"/>
      <c r="I6" s="493"/>
      <c r="J6" s="493"/>
      <c r="K6" s="493"/>
      <c r="L6" s="493"/>
      <c r="M6" s="493"/>
    </row>
    <row r="7" spans="1:48" s="88" customFormat="1" ht="16.5" customHeight="1">
      <c r="A7" s="89" t="s">
        <v>1223</v>
      </c>
      <c r="B7" s="92" t="s">
        <v>2878</v>
      </c>
      <c r="C7" s="493" t="s">
        <v>2879</v>
      </c>
      <c r="D7" s="493"/>
      <c r="E7" s="493"/>
      <c r="F7" s="493"/>
      <c r="G7" s="493"/>
      <c r="H7" s="493"/>
      <c r="I7" s="493"/>
      <c r="J7" s="493"/>
      <c r="K7" s="493"/>
      <c r="L7" s="493"/>
      <c r="M7" s="493"/>
    </row>
    <row r="8" spans="1:48" s="88" customFormat="1" ht="16.5" customHeight="1">
      <c r="A8" s="89"/>
      <c r="B8" s="92" t="s">
        <v>2880</v>
      </c>
      <c r="C8" s="493" t="s">
        <v>2881</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2882</v>
      </c>
      <c r="C10" s="493"/>
      <c r="D10" s="493"/>
      <c r="E10" s="493"/>
      <c r="F10" s="493"/>
      <c r="G10" s="493"/>
      <c r="H10" s="493"/>
      <c r="I10" s="493"/>
      <c r="J10" s="493"/>
      <c r="K10" s="493"/>
      <c r="L10" s="493"/>
      <c r="M10" s="493"/>
    </row>
    <row r="11" spans="1:48" ht="49.5" customHeight="1">
      <c r="A11" s="89" t="s">
        <v>1229</v>
      </c>
      <c r="B11" s="493" t="s">
        <v>2883</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3" t="s">
        <v>2884</v>
      </c>
      <c r="F16" s="94" t="s">
        <v>1431</v>
      </c>
      <c r="J16" s="104" t="s">
        <v>1238</v>
      </c>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t="s">
        <v>5793</v>
      </c>
      <c r="F17" s="93" t="str">
        <f ca="1">INDIRECT("B17")</f>
        <v>的博客http://blog.sina.com.cn/excelbd</v>
      </c>
      <c r="J17" s="108" t="s">
        <v>2885</v>
      </c>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A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A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F28" s="189"/>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F29" s="189"/>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F30" s="189"/>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62" spans="2:2">
      <c r="B62" s="18"/>
    </row>
    <row r="64" spans="2:2">
      <c r="B64" s="18"/>
    </row>
    <row r="67" spans="2:2">
      <c r="B67" s="189"/>
    </row>
    <row r="68" spans="2:2">
      <c r="B68" s="189"/>
    </row>
    <row r="69" spans="2:2">
      <c r="B69" s="189"/>
    </row>
    <row r="70" spans="2:2">
      <c r="B70" s="189"/>
    </row>
    <row r="71" spans="2:2">
      <c r="B71" s="189"/>
    </row>
    <row r="72" spans="2:2">
      <c r="B72" s="189"/>
    </row>
    <row r="76" spans="2:2">
      <c r="B76" s="18"/>
    </row>
    <row r="77" spans="2:2">
      <c r="B77" s="189"/>
    </row>
    <row r="78" spans="2:2">
      <c r="B78" s="260"/>
    </row>
    <row r="79" spans="2:2">
      <c r="B79" s="189"/>
    </row>
    <row r="80" spans="2:2">
      <c r="B80" s="189"/>
    </row>
    <row r="81" spans="2:2">
      <c r="B81" s="189"/>
    </row>
    <row r="82" spans="2:2">
      <c r="B82" s="189"/>
    </row>
    <row r="83" spans="2:2">
      <c r="B83" s="189"/>
    </row>
    <row r="84" spans="2:2">
      <c r="B84" s="189"/>
    </row>
    <row r="85" spans="2:2">
      <c r="B85" s="189"/>
    </row>
    <row r="86" spans="2:2">
      <c r="B86" s="189"/>
    </row>
    <row r="87" spans="2:2">
      <c r="B87" s="189"/>
    </row>
    <row r="88" spans="2:2">
      <c r="B88" s="189"/>
    </row>
    <row r="89" spans="2:2">
      <c r="B89" s="189"/>
    </row>
    <row r="90" spans="2:2">
      <c r="B90" s="189"/>
    </row>
    <row r="91" spans="2:2">
      <c r="B91" s="189"/>
    </row>
    <row r="100" spans="1:13" s="88" customFormat="1" ht="26.25" customHeight="1">
      <c r="A100" s="498" t="s">
        <v>279</v>
      </c>
      <c r="B100" s="498"/>
      <c r="C100" s="499"/>
      <c r="D100" s="87"/>
      <c r="E100" s="500" t="str">
        <f>HYPERLINK("#目录!A160","跳转回到目录页")</f>
        <v>跳转回到目录页</v>
      </c>
      <c r="F100" s="501"/>
    </row>
    <row r="101" spans="1:13" s="88" customFormat="1" ht="26.25" customHeight="1">
      <c r="A101" s="502" t="s">
        <v>1216</v>
      </c>
      <c r="B101" s="502"/>
      <c r="C101" s="503" t="s">
        <v>280</v>
      </c>
      <c r="D101" s="503"/>
      <c r="E101" s="503"/>
      <c r="F101" s="503"/>
      <c r="G101" s="503"/>
      <c r="H101" s="503"/>
      <c r="I101" s="503"/>
      <c r="J101" s="503"/>
      <c r="K101" s="503"/>
      <c r="L101" s="503"/>
      <c r="M101" s="503"/>
    </row>
    <row r="102" spans="1:13" s="88" customFormat="1" ht="24.75" customHeight="1">
      <c r="A102" s="496" t="s">
        <v>1217</v>
      </c>
      <c r="B102" s="496"/>
      <c r="C102" s="493" t="s">
        <v>2886</v>
      </c>
      <c r="D102" s="493"/>
      <c r="E102" s="493"/>
      <c r="F102" s="493"/>
      <c r="G102" s="493"/>
      <c r="H102" s="493"/>
      <c r="I102" s="493"/>
      <c r="J102" s="493"/>
      <c r="K102" s="493"/>
      <c r="L102" s="493"/>
      <c r="M102" s="493"/>
    </row>
    <row r="103" spans="1:13" s="88" customFormat="1" ht="16.5" customHeight="1">
      <c r="A103" s="496" t="s">
        <v>5786</v>
      </c>
      <c r="B103" s="496"/>
      <c r="C103" s="497" t="s">
        <v>280</v>
      </c>
      <c r="D103" s="497"/>
      <c r="E103" s="497"/>
      <c r="F103" s="497"/>
      <c r="G103" s="497"/>
      <c r="H103" s="497"/>
      <c r="I103" s="497"/>
      <c r="J103" s="497"/>
      <c r="K103" s="497"/>
      <c r="L103" s="497"/>
      <c r="M103" s="497"/>
    </row>
    <row r="104" spans="1:13" s="88" customFormat="1" ht="16.5" customHeight="1">
      <c r="A104" s="496" t="s">
        <v>1220</v>
      </c>
      <c r="B104" s="496"/>
      <c r="C104" s="493" t="s">
        <v>2887</v>
      </c>
      <c r="D104" s="493"/>
      <c r="E104" s="493"/>
      <c r="F104" s="493"/>
      <c r="G104" s="493"/>
      <c r="H104" s="493"/>
      <c r="I104" s="493"/>
      <c r="J104" s="493"/>
      <c r="K104" s="493"/>
      <c r="L104" s="493"/>
      <c r="M104" s="493"/>
    </row>
    <row r="105" spans="1:13" s="88" customFormat="1" ht="16.5" customHeight="1">
      <c r="A105" s="496" t="s">
        <v>5785</v>
      </c>
      <c r="B105" s="496"/>
      <c r="C105" s="493" t="s">
        <v>2888</v>
      </c>
      <c r="D105" s="493"/>
      <c r="E105" s="493"/>
      <c r="F105" s="493"/>
      <c r="G105" s="493"/>
      <c r="H105" s="493"/>
      <c r="I105" s="493"/>
      <c r="J105" s="493"/>
      <c r="K105" s="493"/>
      <c r="L105" s="493"/>
      <c r="M105" s="493"/>
    </row>
    <row r="106" spans="1:13" s="88" customFormat="1" ht="16.5" customHeight="1">
      <c r="A106" s="89" t="s">
        <v>1223</v>
      </c>
      <c r="B106" s="92" t="s">
        <v>2889</v>
      </c>
      <c r="C106" s="493" t="s">
        <v>2890</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89.25" customHeight="1">
      <c r="A110" s="89" t="s">
        <v>1229</v>
      </c>
      <c r="B110" s="493" t="s">
        <v>2891</v>
      </c>
      <c r="C110" s="493"/>
      <c r="D110" s="493"/>
      <c r="E110" s="493"/>
      <c r="F110" s="493"/>
      <c r="G110" s="493"/>
      <c r="H110" s="493"/>
      <c r="I110" s="493"/>
      <c r="J110" s="493"/>
      <c r="K110" s="493"/>
      <c r="L110" s="493"/>
      <c r="M110" s="493"/>
    </row>
    <row r="111" spans="1:13" ht="21" customHeight="1">
      <c r="B111" s="494" t="s">
        <v>1231</v>
      </c>
      <c r="C111" s="494"/>
      <c r="D111" s="494"/>
      <c r="E111" s="494"/>
      <c r="F111" s="494"/>
      <c r="G111" s="494"/>
      <c r="H111" s="494"/>
      <c r="I111" s="494"/>
      <c r="J111" s="494"/>
      <c r="K111" s="494"/>
      <c r="L111" s="495"/>
    </row>
    <row r="112" spans="1:13" s="93" customFormat="1" ht="16.5" customHeight="1"/>
    <row r="113" spans="1:12" s="93" customFormat="1" ht="16.5" customHeight="1">
      <c r="A113" s="94" t="s">
        <v>1232</v>
      </c>
      <c r="B113" s="93" t="s">
        <v>1773</v>
      </c>
    </row>
    <row r="114" spans="1:12" ht="16.5" customHeight="1">
      <c r="A114" s="93"/>
      <c r="B114" s="93"/>
      <c r="C114" s="93"/>
      <c r="D114" s="93"/>
      <c r="E114" s="93"/>
      <c r="F114" s="93"/>
      <c r="G114" s="93"/>
      <c r="H114" s="93"/>
      <c r="I114" s="93"/>
      <c r="J114" s="93"/>
      <c r="K114" s="93"/>
      <c r="L114" s="93"/>
    </row>
    <row r="115" spans="1:12" ht="16.5" customHeight="1">
      <c r="A115" s="93"/>
      <c r="B115" s="93"/>
      <c r="C115" s="93"/>
      <c r="D115" s="93"/>
      <c r="E115" s="93"/>
      <c r="F115" s="93"/>
      <c r="G115" s="93"/>
      <c r="H115" s="93"/>
      <c r="I115" s="93"/>
      <c r="J115" s="93"/>
      <c r="K115" s="93"/>
      <c r="L115" s="93"/>
    </row>
    <row r="116" spans="1:12" ht="16.5" customHeight="1">
      <c r="A116" s="93"/>
      <c r="B116" s="93" t="s">
        <v>1649</v>
      </c>
      <c r="C116" s="93"/>
      <c r="D116" s="93"/>
      <c r="E116" s="93"/>
      <c r="F116" s="93"/>
      <c r="G116" s="93"/>
      <c r="H116" s="93"/>
      <c r="I116" s="93"/>
      <c r="J116" s="93"/>
      <c r="K116" s="93"/>
      <c r="L116" s="93"/>
    </row>
    <row r="117" spans="1:12" ht="16.5" customHeight="1">
      <c r="A117" s="93"/>
      <c r="B117" s="187" t="s">
        <v>2892</v>
      </c>
      <c r="C117" s="138">
        <v>1251</v>
      </c>
      <c r="D117" s="93"/>
      <c r="E117" s="95" t="s">
        <v>1371</v>
      </c>
      <c r="F117" s="138">
        <v>3</v>
      </c>
      <c r="G117" s="104" t="s">
        <v>1238</v>
      </c>
      <c r="H117" s="93"/>
      <c r="I117" s="93"/>
      <c r="J117" s="93"/>
      <c r="K117" s="93"/>
      <c r="L117" s="93"/>
    </row>
    <row r="118" spans="1:12" ht="16.5" customHeight="1">
      <c r="A118" s="93"/>
      <c r="B118" s="99" t="s">
        <v>2893</v>
      </c>
      <c r="C118" s="101">
        <v>630</v>
      </c>
      <c r="D118" s="93"/>
      <c r="E118" s="151" t="s">
        <v>1385</v>
      </c>
      <c r="F118" s="107">
        <f>CHOOSE(F117,C117,C118,C119,C120)</f>
        <v>1116</v>
      </c>
      <c r="G118" s="108" t="s">
        <v>2894</v>
      </c>
      <c r="H118" s="93"/>
      <c r="I118" s="93"/>
      <c r="J118" s="93"/>
      <c r="K118" s="93"/>
      <c r="L118" s="93"/>
    </row>
    <row r="119" spans="1:12" ht="16.5" customHeight="1">
      <c r="A119" s="93"/>
      <c r="B119" s="99" t="s">
        <v>2895</v>
      </c>
      <c r="C119" s="101">
        <v>1116</v>
      </c>
      <c r="D119" s="93"/>
      <c r="E119" s="93"/>
      <c r="F119" s="93"/>
      <c r="G119" s="93"/>
      <c r="H119" s="93"/>
      <c r="I119" s="93"/>
      <c r="J119" s="93"/>
      <c r="K119" s="93"/>
      <c r="L119" s="93"/>
    </row>
    <row r="120" spans="1:12" ht="16.5" customHeight="1">
      <c r="A120" s="93"/>
      <c r="B120" s="105" t="s">
        <v>2896</v>
      </c>
      <c r="C120" s="107">
        <v>1485</v>
      </c>
      <c r="D120" s="93"/>
      <c r="E120" s="93"/>
      <c r="F120" s="93"/>
      <c r="G120" s="93"/>
      <c r="H120" s="93"/>
      <c r="I120" s="93"/>
      <c r="J120" s="93"/>
      <c r="K120" s="93"/>
      <c r="L120" s="93"/>
    </row>
    <row r="121" spans="1:12" ht="16.5" customHeight="1">
      <c r="A121" s="93"/>
      <c r="B121" s="93"/>
      <c r="C121" s="93"/>
      <c r="D121" s="93"/>
      <c r="E121" s="93"/>
      <c r="F121" s="93"/>
      <c r="G121" s="93"/>
      <c r="H121" s="93"/>
      <c r="I121" s="93"/>
      <c r="J121" s="93"/>
      <c r="K121" s="93"/>
      <c r="L121" s="93"/>
    </row>
    <row r="122" spans="1:12" ht="16.5" customHeight="1">
      <c r="A122" s="93"/>
      <c r="B122" s="93"/>
      <c r="C122" s="93"/>
      <c r="D122" s="93"/>
      <c r="E122" s="93"/>
      <c r="F122" s="93"/>
      <c r="G122" s="93"/>
      <c r="H122" s="93"/>
      <c r="I122" s="93"/>
      <c r="J122" s="93"/>
      <c r="K122" s="93"/>
      <c r="L122" s="93"/>
    </row>
    <row r="123" spans="1:12" ht="16.5" customHeight="1">
      <c r="A123" s="93"/>
      <c r="B123" s="93"/>
      <c r="C123" s="93"/>
      <c r="D123" s="93"/>
      <c r="E123" s="93"/>
      <c r="F123" s="93"/>
      <c r="G123" s="93"/>
      <c r="H123" s="93"/>
      <c r="I123" s="93"/>
      <c r="J123" s="93"/>
      <c r="K123" s="93"/>
      <c r="L123" s="93"/>
    </row>
    <row r="124" spans="1:12" ht="16.5" customHeight="1">
      <c r="A124" s="93"/>
      <c r="B124" s="93"/>
      <c r="C124" s="93"/>
      <c r="D124" s="93"/>
      <c r="E124" s="93"/>
      <c r="F124" s="93"/>
      <c r="G124" s="93"/>
      <c r="H124" s="93"/>
      <c r="I124" s="93"/>
      <c r="J124" s="93"/>
      <c r="K124" s="93"/>
      <c r="L124" s="93"/>
    </row>
    <row r="125" spans="1:12" ht="16.5" customHeight="1">
      <c r="A125" s="93"/>
      <c r="B125" s="93"/>
      <c r="C125" s="93"/>
      <c r="D125" s="93"/>
      <c r="E125" s="93"/>
      <c r="F125" s="93"/>
      <c r="G125" s="93"/>
      <c r="H125" s="93"/>
      <c r="I125" s="93"/>
      <c r="J125" s="93"/>
      <c r="K125" s="93"/>
      <c r="L125" s="93"/>
    </row>
    <row r="126" spans="1:12" ht="16.5" customHeight="1">
      <c r="A126" s="93"/>
      <c r="B126" s="93"/>
      <c r="C126" s="93"/>
      <c r="D126" s="93"/>
      <c r="E126" s="93"/>
      <c r="F126" s="93"/>
      <c r="G126" s="93"/>
      <c r="H126" s="93"/>
      <c r="I126" s="93"/>
      <c r="J126" s="93"/>
      <c r="K126" s="93"/>
      <c r="L126" s="93"/>
    </row>
    <row r="127" spans="1:12">
      <c r="A127" s="93"/>
      <c r="B127" s="93"/>
      <c r="C127" s="93"/>
      <c r="D127" s="93"/>
      <c r="E127" s="93"/>
      <c r="F127" s="93"/>
      <c r="G127" s="93"/>
      <c r="H127" s="93"/>
      <c r="I127" s="93"/>
      <c r="J127" s="93"/>
      <c r="K127" s="93"/>
      <c r="L127" s="93"/>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pageSetup paperSize="9" orientation="portrait" horizontalDpi="0" verticalDpi="0"/>
  <headerFooter scaleWithDoc="0"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V227"/>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284</v>
      </c>
      <c r="B1" s="498"/>
      <c r="C1" s="499"/>
      <c r="D1" s="87"/>
      <c r="E1" s="500" t="str">
        <f>HYPERLINK("#目录!A163","跳转回到目录页")</f>
        <v>跳转回到目录页</v>
      </c>
      <c r="F1" s="501"/>
    </row>
    <row r="2" spans="1:48" s="88" customFormat="1" ht="26.25" customHeight="1">
      <c r="A2" s="502" t="s">
        <v>1216</v>
      </c>
      <c r="B2" s="502"/>
      <c r="C2" s="503" t="s">
        <v>285</v>
      </c>
      <c r="D2" s="503"/>
      <c r="E2" s="503"/>
      <c r="F2" s="503"/>
      <c r="G2" s="503"/>
      <c r="H2" s="503"/>
      <c r="I2" s="503"/>
      <c r="J2" s="503"/>
      <c r="K2" s="503"/>
      <c r="L2" s="503"/>
      <c r="M2" s="503"/>
    </row>
    <row r="3" spans="1:48" s="88" customFormat="1" ht="16.5" customHeight="1">
      <c r="A3" s="496" t="s">
        <v>1217</v>
      </c>
      <c r="B3" s="496"/>
      <c r="C3" s="493" t="s">
        <v>2897</v>
      </c>
      <c r="D3" s="493"/>
      <c r="E3" s="493"/>
      <c r="F3" s="493"/>
      <c r="G3" s="493"/>
      <c r="H3" s="493"/>
      <c r="I3" s="493"/>
      <c r="J3" s="493"/>
      <c r="K3" s="493"/>
      <c r="L3" s="493"/>
      <c r="M3" s="493"/>
    </row>
    <row r="4" spans="1:48" s="88" customFormat="1" ht="16.5" customHeight="1">
      <c r="A4" s="496" t="s">
        <v>5786</v>
      </c>
      <c r="B4" s="496"/>
      <c r="C4" s="497" t="s">
        <v>2898</v>
      </c>
      <c r="D4" s="497"/>
      <c r="E4" s="497"/>
      <c r="F4" s="497"/>
      <c r="G4" s="497"/>
      <c r="H4" s="497"/>
      <c r="I4" s="497"/>
      <c r="J4" s="497"/>
      <c r="K4" s="497"/>
      <c r="L4" s="497"/>
      <c r="M4" s="497"/>
    </row>
    <row r="5" spans="1:48" s="88" customFormat="1" ht="16.5" customHeight="1">
      <c r="A5" s="496" t="s">
        <v>1220</v>
      </c>
      <c r="B5" s="496"/>
      <c r="C5" s="493" t="s">
        <v>2899</v>
      </c>
      <c r="D5" s="493"/>
      <c r="E5" s="493"/>
      <c r="F5" s="493"/>
      <c r="G5" s="493"/>
      <c r="H5" s="493"/>
      <c r="I5" s="493"/>
      <c r="J5" s="493"/>
      <c r="K5" s="493"/>
      <c r="L5" s="493"/>
      <c r="M5" s="493"/>
    </row>
    <row r="6" spans="1:48" s="88" customFormat="1" ht="16.5" customHeight="1">
      <c r="A6" s="496" t="s">
        <v>5785</v>
      </c>
      <c r="B6" s="496"/>
      <c r="C6" s="493" t="s">
        <v>2900</v>
      </c>
      <c r="D6" s="493"/>
      <c r="E6" s="493"/>
      <c r="F6" s="493"/>
      <c r="G6" s="493"/>
      <c r="H6" s="493"/>
      <c r="I6" s="493"/>
      <c r="J6" s="493"/>
      <c r="K6" s="493"/>
      <c r="L6" s="493"/>
      <c r="M6" s="493"/>
    </row>
    <row r="7" spans="1:48" s="88" customFormat="1" ht="16.5" customHeight="1">
      <c r="A7" s="89" t="s">
        <v>1223</v>
      </c>
      <c r="B7" s="92" t="s">
        <v>2901</v>
      </c>
      <c r="C7" s="493" t="s">
        <v>2902</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2903</v>
      </c>
      <c r="C10" s="493"/>
      <c r="D10" s="493"/>
      <c r="E10" s="493"/>
      <c r="F10" s="493"/>
      <c r="G10" s="493"/>
      <c r="H10" s="493"/>
      <c r="I10" s="493"/>
      <c r="J10" s="493"/>
      <c r="K10" s="493"/>
      <c r="L10" s="493"/>
      <c r="M10" s="493"/>
    </row>
    <row r="11" spans="1:48" ht="24" customHeight="1">
      <c r="A11" s="89" t="s">
        <v>1229</v>
      </c>
      <c r="B11" s="493" t="s">
        <v>2904</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C16" s="85"/>
      <c r="D16" s="85"/>
      <c r="E16" s="85"/>
      <c r="G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F17" s="4"/>
      <c r="G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F18" s="104" t="s">
        <v>1238</v>
      </c>
      <c r="G18" s="18"/>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636"/>
      <c r="C19" s="637"/>
      <c r="D19" s="638"/>
      <c r="E19" s="93">
        <f>COLUMN(B19)</f>
        <v>2</v>
      </c>
      <c r="F19" s="108" t="s">
        <v>2905</v>
      </c>
      <c r="G19" s="4"/>
      <c r="H19" s="93" t="s">
        <v>2906</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c r="C20" s="257"/>
      <c r="D20" s="258"/>
      <c r="E20" s="93">
        <f>COLUMN(C20:D20)</f>
        <v>3</v>
      </c>
      <c r="F20" s="108" t="s">
        <v>2907</v>
      </c>
      <c r="G20" s="18"/>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c r="C21" s="110"/>
      <c r="D21" s="258"/>
      <c r="E21" s="93">
        <f>COLUMN(D21)</f>
        <v>4</v>
      </c>
      <c r="F21" s="108" t="s">
        <v>2908</v>
      </c>
      <c r="G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05"/>
      <c r="C22" s="259"/>
      <c r="D22" s="107"/>
      <c r="E22" s="93">
        <f>COLUMN(C22)</f>
        <v>3</v>
      </c>
      <c r="F22" s="108" t="s">
        <v>2909</v>
      </c>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E23" s="93">
        <f>COLUMN()</f>
        <v>5</v>
      </c>
      <c r="F23" s="108" t="s">
        <v>2910</v>
      </c>
      <c r="G23" s="189"/>
      <c r="H23" s="93" t="s">
        <v>2911</v>
      </c>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G24" s="189"/>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G25" s="189"/>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G26" s="260"/>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G27" s="189"/>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G28" s="189"/>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286</v>
      </c>
      <c r="B100" s="498"/>
      <c r="C100" s="499"/>
      <c r="D100" s="87"/>
      <c r="E100" s="500" t="str">
        <f>HYPERLINK("#目录!A164","跳转回到目录页")</f>
        <v>跳转回到目录页</v>
      </c>
      <c r="F100" s="501"/>
    </row>
    <row r="101" spans="1:13" s="88" customFormat="1" ht="26.25" customHeight="1">
      <c r="A101" s="502" t="s">
        <v>1216</v>
      </c>
      <c r="B101" s="502"/>
      <c r="C101" s="503" t="s">
        <v>287</v>
      </c>
      <c r="D101" s="503"/>
      <c r="E101" s="503"/>
      <c r="F101" s="503"/>
      <c r="G101" s="503"/>
      <c r="H101" s="503"/>
      <c r="I101" s="503"/>
      <c r="J101" s="503"/>
      <c r="K101" s="503"/>
      <c r="L101" s="503"/>
      <c r="M101" s="503"/>
    </row>
    <row r="102" spans="1:13" s="88" customFormat="1" ht="16.5" customHeight="1">
      <c r="A102" s="496" t="s">
        <v>1217</v>
      </c>
      <c r="B102" s="496"/>
      <c r="C102" s="493" t="s">
        <v>2912</v>
      </c>
      <c r="D102" s="493"/>
      <c r="E102" s="493"/>
      <c r="F102" s="493"/>
      <c r="G102" s="493"/>
      <c r="H102" s="493"/>
      <c r="I102" s="493"/>
      <c r="J102" s="493"/>
      <c r="K102" s="493"/>
      <c r="L102" s="493"/>
      <c r="M102" s="493"/>
    </row>
    <row r="103" spans="1:13" s="88" customFormat="1" ht="16.5" customHeight="1">
      <c r="A103" s="496" t="s">
        <v>5786</v>
      </c>
      <c r="B103" s="496"/>
      <c r="C103" s="497" t="s">
        <v>2913</v>
      </c>
      <c r="D103" s="497"/>
      <c r="E103" s="497"/>
      <c r="F103" s="497"/>
      <c r="G103" s="497"/>
      <c r="H103" s="497"/>
      <c r="I103" s="497"/>
      <c r="J103" s="497"/>
      <c r="K103" s="497"/>
      <c r="L103" s="497"/>
      <c r="M103" s="497"/>
    </row>
    <row r="104" spans="1:13" s="88" customFormat="1" ht="16.5" customHeight="1">
      <c r="A104" s="496" t="s">
        <v>1220</v>
      </c>
      <c r="B104" s="496"/>
      <c r="C104" s="493" t="s">
        <v>2914</v>
      </c>
      <c r="D104" s="493"/>
      <c r="E104" s="493"/>
      <c r="F104" s="493"/>
      <c r="G104" s="493"/>
      <c r="H104" s="493"/>
      <c r="I104" s="493"/>
      <c r="J104" s="493"/>
      <c r="K104" s="493"/>
      <c r="L104" s="493"/>
      <c r="M104" s="493"/>
    </row>
    <row r="105" spans="1:13" s="88" customFormat="1" ht="16.5" customHeight="1">
      <c r="A105" s="496" t="s">
        <v>5785</v>
      </c>
      <c r="B105" s="496"/>
      <c r="C105" s="493" t="s">
        <v>2915</v>
      </c>
      <c r="D105" s="493"/>
      <c r="E105" s="493"/>
      <c r="F105" s="493"/>
      <c r="G105" s="493"/>
      <c r="H105" s="493"/>
      <c r="I105" s="493"/>
      <c r="J105" s="493"/>
      <c r="K105" s="493"/>
      <c r="L105" s="493"/>
      <c r="M105" s="493"/>
    </row>
    <row r="106" spans="1:13" s="88" customFormat="1" ht="16.5" customHeight="1">
      <c r="A106" s="89" t="s">
        <v>1223</v>
      </c>
      <c r="B106" s="92" t="s">
        <v>2835</v>
      </c>
      <c r="C106" s="493" t="s">
        <v>2916</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38.25" customHeight="1">
      <c r="A110" s="89" t="s">
        <v>1229</v>
      </c>
      <c r="B110" s="493" t="s">
        <v>2917</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2" s="93" customFormat="1" ht="16.5" customHeight="1">
      <c r="A113" s="94" t="s">
        <v>1232</v>
      </c>
      <c r="B113" s="93" t="s">
        <v>1773</v>
      </c>
    </row>
    <row r="114" spans="1:12" ht="16.5" customHeight="1"/>
    <row r="115" spans="1:12" ht="16.5" customHeight="1">
      <c r="E115" s="94" t="s">
        <v>1431</v>
      </c>
      <c r="G115" s="104" t="s">
        <v>1238</v>
      </c>
    </row>
    <row r="116" spans="1:12" ht="16.5" customHeight="1">
      <c r="B116" s="41"/>
      <c r="C116" s="41"/>
      <c r="D116" s="41"/>
      <c r="E116" s="4">
        <f>ROW(B116:D116)</f>
        <v>116</v>
      </c>
      <c r="F116" s="59" t="s">
        <v>2918</v>
      </c>
      <c r="G116" s="108" t="s">
        <v>2919</v>
      </c>
    </row>
    <row r="117" spans="1:12" ht="16.5" customHeight="1">
      <c r="B117" s="261"/>
      <c r="E117" s="4">
        <f>ROW(B117:B118)</f>
        <v>117</v>
      </c>
      <c r="F117" s="191" t="s">
        <v>2920</v>
      </c>
      <c r="G117" s="108" t="s">
        <v>2921</v>
      </c>
    </row>
    <row r="118" spans="1:12" ht="16.5" customHeight="1">
      <c r="B118" s="261"/>
      <c r="F118" s="93"/>
      <c r="G118" s="158"/>
    </row>
    <row r="119" spans="1:12" ht="16.5" customHeight="1">
      <c r="C119" s="43"/>
      <c r="D119" s="262"/>
      <c r="E119" s="4">
        <f>ROW(C119)</f>
        <v>119</v>
      </c>
      <c r="F119" s="43"/>
      <c r="G119" s="108" t="s">
        <v>2922</v>
      </c>
    </row>
    <row r="120" spans="1:12" ht="16.5" customHeight="1">
      <c r="E120" s="4">
        <f>ROW(D119)</f>
        <v>119</v>
      </c>
      <c r="F120" s="262"/>
      <c r="G120" s="108" t="s">
        <v>2923</v>
      </c>
    </row>
    <row r="121" spans="1:12" ht="16.5" customHeight="1"/>
    <row r="122" spans="1:12" ht="16.5" customHeight="1">
      <c r="G122" s="189"/>
    </row>
    <row r="123" spans="1:12" ht="16.5" customHeight="1">
      <c r="A123" s="94" t="s">
        <v>1244</v>
      </c>
      <c r="B123" s="93" t="s">
        <v>2924</v>
      </c>
      <c r="C123" s="93"/>
      <c r="D123" s="93"/>
      <c r="E123" s="93"/>
      <c r="F123" s="93"/>
      <c r="G123" s="161"/>
      <c r="H123" s="93"/>
      <c r="I123" s="93"/>
      <c r="J123" s="93"/>
      <c r="K123" s="93"/>
      <c r="L123" s="93"/>
    </row>
    <row r="124" spans="1:12" ht="16.5" customHeight="1">
      <c r="A124" s="93"/>
      <c r="B124" s="93"/>
      <c r="C124" s="93"/>
      <c r="D124" s="93"/>
      <c r="E124" s="93"/>
      <c r="F124" s="93"/>
      <c r="G124" s="161"/>
      <c r="H124" s="93"/>
      <c r="I124" s="93"/>
      <c r="J124" s="93"/>
      <c r="K124" s="93"/>
      <c r="L124" s="93"/>
    </row>
    <row r="125" spans="1:12" ht="16.5" customHeight="1">
      <c r="A125" s="93"/>
      <c r="B125" s="93" t="s">
        <v>5924</v>
      </c>
      <c r="C125" s="93"/>
      <c r="D125" s="93"/>
      <c r="E125" s="93"/>
      <c r="F125" s="93"/>
      <c r="G125" s="263"/>
      <c r="H125" s="93"/>
      <c r="I125" s="93"/>
      <c r="J125" s="93"/>
      <c r="K125" s="93"/>
      <c r="L125" s="93"/>
    </row>
    <row r="126" spans="1:12" ht="16.5" customHeight="1">
      <c r="A126" s="93"/>
      <c r="B126" s="93" t="s">
        <v>5925</v>
      </c>
      <c r="C126" s="93"/>
      <c r="D126" s="93"/>
      <c r="E126" s="93"/>
      <c r="F126" s="93"/>
      <c r="G126" s="161"/>
      <c r="H126" s="93"/>
      <c r="I126" s="93"/>
      <c r="J126" s="93"/>
      <c r="K126" s="93"/>
      <c r="L126" s="93"/>
    </row>
    <row r="127" spans="1:12" ht="16.5" customHeight="1">
      <c r="A127" s="93"/>
      <c r="B127" s="240" t="s">
        <v>2925</v>
      </c>
      <c r="C127" s="93"/>
      <c r="D127" s="93"/>
      <c r="E127" s="93"/>
      <c r="F127" s="93"/>
      <c r="G127" s="161"/>
      <c r="H127" s="93"/>
      <c r="I127" s="93"/>
      <c r="J127" s="93"/>
      <c r="K127" s="93"/>
      <c r="L127" s="93"/>
    </row>
    <row r="128" spans="1:12" ht="16.5" customHeight="1">
      <c r="A128" s="93"/>
      <c r="B128" s="93" t="s">
        <v>2926</v>
      </c>
      <c r="C128" s="93"/>
      <c r="D128" s="93"/>
      <c r="E128" s="93"/>
      <c r="F128" s="93"/>
      <c r="G128" s="93"/>
      <c r="H128" s="93"/>
      <c r="I128" s="93"/>
      <c r="J128" s="93"/>
      <c r="K128" s="93"/>
      <c r="L128" s="93"/>
    </row>
    <row r="129" spans="1:12" ht="16.5" customHeight="1">
      <c r="A129" s="93"/>
      <c r="B129" s="93" t="s">
        <v>2927</v>
      </c>
      <c r="E129" s="93"/>
      <c r="F129" s="93"/>
      <c r="G129" s="93"/>
      <c r="H129" s="93"/>
      <c r="I129" s="93"/>
      <c r="J129" s="93"/>
      <c r="K129" s="93"/>
      <c r="L129" s="93"/>
    </row>
    <row r="130" spans="1:12" ht="16.5" customHeight="1">
      <c r="A130" s="93"/>
      <c r="B130" s="93" t="s">
        <v>5926</v>
      </c>
      <c r="E130" s="93"/>
      <c r="F130" s="93"/>
      <c r="G130" s="93"/>
      <c r="H130" s="93"/>
      <c r="I130" s="93"/>
      <c r="J130" s="93"/>
      <c r="K130" s="93"/>
      <c r="L130" s="93"/>
    </row>
    <row r="131" spans="1:12" ht="16.5" customHeight="1">
      <c r="C131" s="104" t="s">
        <v>1238</v>
      </c>
      <c r="D131" s="93"/>
    </row>
    <row r="132" spans="1:12" ht="16.5" customHeight="1">
      <c r="B132" s="93">
        <f>SUM(ROW(1:10))</f>
        <v>1</v>
      </c>
      <c r="C132" s="108" t="s">
        <v>2928</v>
      </c>
    </row>
    <row r="133" spans="1:12" ht="16.5" customHeight="1">
      <c r="B133" s="93" t="s">
        <v>2929</v>
      </c>
      <c r="D133" s="93"/>
    </row>
    <row r="134" spans="1:12" ht="16.5" customHeight="1">
      <c r="B134" s="93" t="s">
        <v>5927</v>
      </c>
    </row>
    <row r="135" spans="1:12" ht="16.5" customHeight="1">
      <c r="C135" s="104" t="s">
        <v>1238</v>
      </c>
    </row>
    <row r="136" spans="1:12" ht="16.5" customHeight="1">
      <c r="B136" s="93">
        <f t="array" ref="B136">SUM(ROW(1:10))</f>
        <v>55</v>
      </c>
      <c r="C136" s="108" t="s">
        <v>2930</v>
      </c>
    </row>
    <row r="137" spans="1:12" ht="16.5" customHeight="1">
      <c r="B137" s="116" t="s">
        <v>2931</v>
      </c>
      <c r="C137" s="104" t="s">
        <v>1238</v>
      </c>
    </row>
    <row r="138" spans="1:12" ht="16.5" customHeight="1">
      <c r="B138" s="93">
        <f t="array" ref="B138">PRODUCT(ROW(1:10))</f>
        <v>3628800</v>
      </c>
      <c r="C138" s="108" t="s">
        <v>2932</v>
      </c>
      <c r="D138" s="93"/>
      <c r="E138" s="93"/>
      <c r="F138" s="93"/>
      <c r="G138" s="93"/>
      <c r="H138" s="93"/>
    </row>
    <row r="139" spans="1:12" ht="16.5" customHeight="1">
      <c r="B139" s="93" t="s">
        <v>2933</v>
      </c>
      <c r="C139" s="93"/>
      <c r="D139" s="93"/>
      <c r="E139" s="93"/>
      <c r="F139" s="93"/>
      <c r="G139" s="93"/>
      <c r="H139" s="93"/>
    </row>
    <row r="140" spans="1:12" ht="16.5" customHeight="1"/>
    <row r="200" spans="1:13" s="88" customFormat="1" ht="26.25" customHeight="1">
      <c r="A200" s="498" t="s">
        <v>282</v>
      </c>
      <c r="B200" s="498"/>
      <c r="C200" s="499"/>
      <c r="D200" s="87"/>
      <c r="E200" s="500" t="str">
        <f>HYPERLINK("#目录!A162","跳转回到目录页")</f>
        <v>跳转回到目录页</v>
      </c>
      <c r="F200" s="501"/>
    </row>
    <row r="201" spans="1:13" s="88" customFormat="1" ht="26.25" customHeight="1">
      <c r="A201" s="502" t="s">
        <v>1216</v>
      </c>
      <c r="B201" s="502"/>
      <c r="C201" s="503" t="s">
        <v>283</v>
      </c>
      <c r="D201" s="503"/>
      <c r="E201" s="503"/>
      <c r="F201" s="503"/>
      <c r="G201" s="503"/>
      <c r="H201" s="503"/>
      <c r="I201" s="503"/>
      <c r="J201" s="503"/>
      <c r="K201" s="503"/>
      <c r="L201" s="503"/>
      <c r="M201" s="503"/>
    </row>
    <row r="202" spans="1:13" s="88" customFormat="1" ht="16.5" customHeight="1">
      <c r="A202" s="496" t="s">
        <v>1217</v>
      </c>
      <c r="B202" s="496"/>
      <c r="C202" s="493" t="s">
        <v>2934</v>
      </c>
      <c r="D202" s="493"/>
      <c r="E202" s="493"/>
      <c r="F202" s="493"/>
      <c r="G202" s="493"/>
      <c r="H202" s="493"/>
      <c r="I202" s="493"/>
      <c r="J202" s="493"/>
      <c r="K202" s="493"/>
      <c r="L202" s="493"/>
      <c r="M202" s="493"/>
    </row>
    <row r="203" spans="1:13" s="88" customFormat="1" ht="16.5" customHeight="1">
      <c r="A203" s="496" t="s">
        <v>5786</v>
      </c>
      <c r="B203" s="496"/>
      <c r="C203" s="493" t="s">
        <v>2934</v>
      </c>
      <c r="D203" s="493"/>
      <c r="E203" s="493"/>
      <c r="F203" s="493"/>
      <c r="G203" s="493"/>
      <c r="H203" s="493"/>
      <c r="I203" s="493"/>
      <c r="J203" s="493"/>
      <c r="K203" s="493"/>
      <c r="L203" s="493"/>
      <c r="M203" s="493"/>
    </row>
    <row r="204" spans="1:13" s="88" customFormat="1" ht="16.5" customHeight="1">
      <c r="A204" s="496" t="s">
        <v>1220</v>
      </c>
      <c r="B204" s="496"/>
      <c r="C204" s="493" t="s">
        <v>2935</v>
      </c>
      <c r="D204" s="493"/>
      <c r="E204" s="493"/>
      <c r="F204" s="493"/>
      <c r="G204" s="493"/>
      <c r="H204" s="493"/>
      <c r="I204" s="493"/>
      <c r="J204" s="493"/>
      <c r="K204" s="493"/>
      <c r="L204" s="493"/>
      <c r="M204" s="493"/>
    </row>
    <row r="205" spans="1:13" s="88" customFormat="1" ht="16.5" customHeight="1">
      <c r="A205" s="496" t="s">
        <v>5785</v>
      </c>
      <c r="B205" s="496"/>
      <c r="C205" s="493" t="s">
        <v>2936</v>
      </c>
      <c r="D205" s="493"/>
      <c r="E205" s="493"/>
      <c r="F205" s="493"/>
      <c r="G205" s="493"/>
      <c r="H205" s="493"/>
      <c r="I205" s="493"/>
      <c r="J205" s="493"/>
      <c r="K205" s="493"/>
      <c r="L205" s="493"/>
      <c r="M205" s="493"/>
    </row>
    <row r="206" spans="1:13" s="88" customFormat="1" ht="16.5" customHeight="1">
      <c r="A206" s="89" t="s">
        <v>1223</v>
      </c>
      <c r="B206" s="92" t="s">
        <v>2857</v>
      </c>
      <c r="C206" s="493" t="s">
        <v>2937</v>
      </c>
      <c r="D206" s="493"/>
      <c r="E206" s="493"/>
      <c r="F206" s="493"/>
      <c r="G206" s="493"/>
      <c r="H206" s="493"/>
      <c r="I206" s="493"/>
      <c r="J206" s="493"/>
      <c r="K206" s="493"/>
      <c r="L206" s="493"/>
      <c r="M206" s="493"/>
    </row>
    <row r="207" spans="1:13" s="88" customFormat="1" ht="24.75" customHeight="1">
      <c r="A207" s="89"/>
      <c r="B207" s="92" t="s">
        <v>2859</v>
      </c>
      <c r="C207" s="509" t="s">
        <v>2938</v>
      </c>
      <c r="D207" s="509"/>
      <c r="E207" s="509"/>
      <c r="F207" s="509"/>
      <c r="G207" s="509"/>
      <c r="H207" s="509"/>
      <c r="I207" s="509"/>
      <c r="J207" s="509"/>
      <c r="K207" s="509"/>
      <c r="L207" s="509"/>
      <c r="M207" s="509"/>
    </row>
    <row r="208" spans="1:13" s="88" customFormat="1" ht="16.5" customHeight="1">
      <c r="A208" s="89"/>
      <c r="B208" s="92" t="s">
        <v>2939</v>
      </c>
      <c r="C208" s="509" t="s">
        <v>2940</v>
      </c>
      <c r="D208" s="509"/>
      <c r="E208" s="509"/>
      <c r="F208" s="509"/>
      <c r="G208" s="509"/>
      <c r="H208" s="509"/>
      <c r="I208" s="509"/>
      <c r="J208" s="509"/>
      <c r="K208" s="509"/>
      <c r="L208" s="509"/>
      <c r="M208" s="509"/>
    </row>
    <row r="209" spans="1:13" s="88" customFormat="1" ht="24.75" customHeight="1">
      <c r="A209" s="89"/>
      <c r="B209" s="92" t="s">
        <v>2880</v>
      </c>
      <c r="C209" s="509" t="s">
        <v>2941</v>
      </c>
      <c r="D209" s="509"/>
      <c r="E209" s="509"/>
      <c r="F209" s="509"/>
      <c r="G209" s="509"/>
      <c r="H209" s="509"/>
      <c r="I209" s="509"/>
      <c r="J209" s="509"/>
      <c r="K209" s="509"/>
      <c r="L209" s="509"/>
      <c r="M209" s="509"/>
    </row>
    <row r="210" spans="1:13" s="88" customFormat="1" ht="16.5" customHeight="1">
      <c r="A210" s="89"/>
      <c r="B210" s="92" t="s">
        <v>2942</v>
      </c>
      <c r="C210" s="493" t="s">
        <v>2943</v>
      </c>
      <c r="D210" s="493"/>
      <c r="E210" s="493"/>
      <c r="F210" s="493"/>
      <c r="G210" s="493"/>
      <c r="H210" s="493"/>
      <c r="I210" s="493"/>
      <c r="J210" s="493"/>
      <c r="K210" s="493"/>
      <c r="L210" s="493"/>
      <c r="M210" s="493"/>
    </row>
    <row r="211" spans="1:13" s="88" customFormat="1" ht="16.5" customHeight="1">
      <c r="A211" s="89"/>
      <c r="B211" s="90"/>
      <c r="C211" s="493"/>
      <c r="D211" s="493"/>
      <c r="E211" s="493"/>
      <c r="F211" s="493"/>
      <c r="G211" s="493"/>
      <c r="H211" s="493"/>
      <c r="I211" s="493"/>
      <c r="J211" s="493"/>
      <c r="K211" s="493"/>
      <c r="L211" s="493"/>
      <c r="M211" s="493"/>
    </row>
    <row r="212" spans="1:13" s="88" customFormat="1" ht="61.5" customHeight="1">
      <c r="A212" s="89" t="s">
        <v>1228</v>
      </c>
      <c r="B212" s="493" t="s">
        <v>2944</v>
      </c>
      <c r="C212" s="493"/>
      <c r="D212" s="493"/>
      <c r="E212" s="493"/>
      <c r="F212" s="493"/>
      <c r="G212" s="493"/>
      <c r="H212" s="493"/>
      <c r="I212" s="493"/>
      <c r="J212" s="493"/>
      <c r="K212" s="493"/>
      <c r="L212" s="493"/>
      <c r="M212" s="493"/>
    </row>
    <row r="213" spans="1:13" ht="16.5" customHeight="1">
      <c r="A213" s="89" t="s">
        <v>1229</v>
      </c>
      <c r="B213" s="493"/>
      <c r="C213" s="493"/>
      <c r="D213" s="493"/>
      <c r="E213" s="493"/>
      <c r="F213" s="493"/>
      <c r="G213" s="493"/>
      <c r="H213" s="493"/>
      <c r="I213" s="493"/>
      <c r="J213" s="493"/>
      <c r="K213" s="493"/>
      <c r="L213" s="493"/>
      <c r="M213" s="493"/>
    </row>
    <row r="214" spans="1:13" ht="21" customHeight="1">
      <c r="B214" s="494" t="s">
        <v>2863</v>
      </c>
      <c r="C214" s="494"/>
      <c r="D214" s="494"/>
      <c r="E214" s="494"/>
      <c r="F214" s="494"/>
      <c r="G214" s="494"/>
      <c r="H214" s="494"/>
      <c r="I214" s="494"/>
      <c r="J214" s="494"/>
      <c r="K214" s="494"/>
      <c r="L214" s="495"/>
    </row>
    <row r="215" spans="1:13" s="93" customFormat="1" ht="16.5" customHeight="1"/>
    <row r="216" spans="1:13" s="93" customFormat="1" ht="16.5" customHeight="1">
      <c r="A216" s="94" t="s">
        <v>1232</v>
      </c>
      <c r="B216" s="93" t="s">
        <v>1773</v>
      </c>
    </row>
    <row r="217" spans="1:13" ht="16.5" customHeight="1">
      <c r="A217" s="93"/>
      <c r="B217" s="93"/>
      <c r="C217" s="93"/>
      <c r="D217" s="93"/>
      <c r="E217" s="93"/>
      <c r="F217" s="93"/>
      <c r="G217" s="93"/>
      <c r="H217" s="93"/>
      <c r="I217" s="93"/>
    </row>
    <row r="218" spans="1:13" ht="16.5" customHeight="1">
      <c r="A218" s="93"/>
      <c r="B218" s="93"/>
      <c r="C218" s="93"/>
      <c r="D218" s="93"/>
      <c r="E218" s="93"/>
      <c r="F218" s="93"/>
      <c r="G218" s="93"/>
      <c r="H218" s="93"/>
      <c r="I218" s="93"/>
    </row>
    <row r="219" spans="1:13" ht="16.5" customHeight="1">
      <c r="A219" s="93"/>
      <c r="B219" s="93" t="s">
        <v>5793</v>
      </c>
      <c r="C219" s="93"/>
      <c r="D219" s="264"/>
      <c r="E219" s="264"/>
      <c r="F219" s="264"/>
      <c r="G219" s="264"/>
      <c r="H219" s="265"/>
      <c r="I219" s="93"/>
    </row>
    <row r="220" spans="1:13" ht="16.5" customHeight="1">
      <c r="A220" s="93"/>
      <c r="B220" s="93"/>
      <c r="C220" s="93"/>
      <c r="D220" s="93"/>
      <c r="E220" s="93"/>
      <c r="F220" s="93"/>
      <c r="G220" s="92"/>
      <c r="H220" s="92"/>
      <c r="I220" s="93"/>
    </row>
    <row r="221" spans="1:13" ht="16.5" customHeight="1">
      <c r="A221" s="93"/>
      <c r="B221" s="94" t="s">
        <v>2945</v>
      </c>
      <c r="C221" s="94" t="s">
        <v>2946</v>
      </c>
      <c r="D221" s="94" t="s">
        <v>1431</v>
      </c>
      <c r="E221" s="104" t="s">
        <v>1238</v>
      </c>
      <c r="F221" s="93"/>
      <c r="G221" s="92"/>
      <c r="H221" s="92"/>
      <c r="I221" s="93"/>
    </row>
    <row r="222" spans="1:13" ht="16.5" customHeight="1">
      <c r="A222" s="93"/>
      <c r="B222" s="93">
        <f>ROW(B219)</f>
        <v>219</v>
      </c>
      <c r="C222" s="93">
        <f>COLUMN(B219)</f>
        <v>2</v>
      </c>
      <c r="D222" s="94" t="str">
        <f>ADDRESS($B$222,$C$222,1)</f>
        <v>$B$219</v>
      </c>
      <c r="E222" s="108" t="s">
        <v>2947</v>
      </c>
      <c r="F222" s="93"/>
      <c r="G222" s="92"/>
      <c r="H222" s="92" t="s">
        <v>2948</v>
      </c>
      <c r="I222" s="93"/>
    </row>
    <row r="223" spans="1:13">
      <c r="A223" s="93"/>
      <c r="B223" s="93"/>
      <c r="C223" s="93"/>
      <c r="D223" s="94" t="str">
        <f>ADDRESS($B$222,$C$222,2)</f>
        <v>B$219</v>
      </c>
      <c r="E223" s="108" t="s">
        <v>2949</v>
      </c>
      <c r="F223" s="93"/>
      <c r="G223" s="92"/>
      <c r="H223" s="92" t="s">
        <v>2950</v>
      </c>
      <c r="I223" s="93"/>
    </row>
    <row r="224" spans="1:13">
      <c r="A224" s="93"/>
      <c r="B224" s="93"/>
      <c r="C224" s="93"/>
      <c r="D224" s="94" t="str">
        <f>ADDRESS($B$222,$C$222,3)</f>
        <v>$B219</v>
      </c>
      <c r="E224" s="108" t="s">
        <v>2951</v>
      </c>
      <c r="F224" s="93"/>
      <c r="G224" s="93"/>
      <c r="H224" s="93" t="s">
        <v>2952</v>
      </c>
      <c r="I224" s="93"/>
    </row>
    <row r="225" spans="1:9">
      <c r="A225" s="93"/>
      <c r="B225" s="93"/>
      <c r="C225" s="93"/>
      <c r="D225" s="94" t="str">
        <f>ADDRESS($B$222,$C$222,4)</f>
        <v>B219</v>
      </c>
      <c r="E225" s="108" t="s">
        <v>2953</v>
      </c>
      <c r="F225" s="93"/>
      <c r="G225" s="93"/>
      <c r="H225" s="93" t="s">
        <v>2954</v>
      </c>
      <c r="I225" s="93"/>
    </row>
    <row r="226" spans="1:9">
      <c r="A226" s="93"/>
      <c r="B226" s="93"/>
      <c r="C226" s="93"/>
      <c r="D226" s="93"/>
      <c r="E226" s="93"/>
      <c r="F226" s="93"/>
      <c r="G226" s="93"/>
      <c r="H226" s="93"/>
      <c r="I226" s="93"/>
    </row>
    <row r="227" spans="1:9">
      <c r="A227" s="93"/>
      <c r="B227" s="93"/>
      <c r="C227" s="93"/>
      <c r="D227" s="93"/>
      <c r="E227" s="93"/>
      <c r="F227" s="93"/>
      <c r="G227" s="93"/>
      <c r="H227" s="93"/>
      <c r="I227" s="93"/>
    </row>
  </sheetData>
  <mergeCells count="58">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9:D19"/>
    <mergeCell ref="A100:C100"/>
    <mergeCell ref="E100:F100"/>
    <mergeCell ref="A101:B101"/>
    <mergeCell ref="C101:M101"/>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A203:B203"/>
    <mergeCell ref="C203:M203"/>
    <mergeCell ref="A204:B204"/>
    <mergeCell ref="C204:M204"/>
    <mergeCell ref="A205:B205"/>
    <mergeCell ref="C205:M205"/>
    <mergeCell ref="B212:M212"/>
    <mergeCell ref="B213:M213"/>
    <mergeCell ref="B214:L214"/>
    <mergeCell ref="C206:M206"/>
    <mergeCell ref="C207:M207"/>
    <mergeCell ref="C208:M208"/>
    <mergeCell ref="C209:M209"/>
    <mergeCell ref="C210:M210"/>
    <mergeCell ref="C211:M211"/>
  </mergeCells>
  <phoneticPr fontId="2" type="noConversion"/>
  <pageMargins left="0.75" right="0.75" top="1" bottom="1" header="0.5" footer="0.5"/>
  <pageSetup paperSize="9" orientation="portrait" horizontalDpi="0" verticalDpi="0"/>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N741"/>
  <sheetViews>
    <sheetView topLeftCell="A205" workbookViewId="0">
      <selection activeCell="C216" sqref="C216"/>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33</v>
      </c>
      <c r="B1" s="498"/>
      <c r="C1" s="499"/>
      <c r="D1" s="87"/>
      <c r="E1" s="500" t="str">
        <f>HYPERLINK("#目录!A24","跳转回到目录页")</f>
        <v>跳转回到目录页</v>
      </c>
      <c r="F1" s="501"/>
    </row>
    <row r="2" spans="1:13" s="88" customFormat="1" ht="30" customHeight="1">
      <c r="A2" s="502" t="s">
        <v>1216</v>
      </c>
      <c r="B2" s="502"/>
      <c r="C2" s="503" t="s">
        <v>34</v>
      </c>
      <c r="D2" s="503"/>
      <c r="E2" s="503"/>
      <c r="F2" s="503"/>
      <c r="G2" s="503"/>
      <c r="H2" s="503"/>
      <c r="I2" s="503"/>
      <c r="J2" s="503"/>
      <c r="K2" s="503"/>
      <c r="L2" s="503"/>
      <c r="M2" s="503"/>
    </row>
    <row r="3" spans="1:13" s="88" customFormat="1" ht="34.200000000000003" customHeight="1">
      <c r="A3" s="496" t="s">
        <v>1217</v>
      </c>
      <c r="B3" s="496"/>
      <c r="C3" s="493" t="s">
        <v>1218</v>
      </c>
      <c r="D3" s="493"/>
      <c r="E3" s="493"/>
      <c r="F3" s="493"/>
      <c r="G3" s="493"/>
      <c r="H3" s="493"/>
      <c r="I3" s="493"/>
      <c r="J3" s="493"/>
      <c r="K3" s="493"/>
      <c r="L3" s="493"/>
      <c r="M3" s="493"/>
    </row>
    <row r="4" spans="1:13" s="88" customFormat="1" ht="16.5" customHeight="1">
      <c r="A4" s="496" t="s">
        <v>5786</v>
      </c>
      <c r="B4" s="496"/>
      <c r="C4" s="497" t="s">
        <v>1219</v>
      </c>
      <c r="D4" s="497"/>
      <c r="E4" s="497"/>
      <c r="F4" s="497"/>
      <c r="G4" s="497"/>
      <c r="H4" s="497"/>
      <c r="I4" s="497"/>
      <c r="J4" s="497"/>
      <c r="K4" s="497"/>
      <c r="L4" s="497"/>
      <c r="M4" s="497"/>
    </row>
    <row r="5" spans="1:13" s="88" customFormat="1" ht="16.5" customHeight="1">
      <c r="A5" s="496" t="s">
        <v>1220</v>
      </c>
      <c r="B5" s="496"/>
      <c r="C5" s="493" t="s">
        <v>1221</v>
      </c>
      <c r="D5" s="493"/>
      <c r="E5" s="493"/>
      <c r="F5" s="493"/>
      <c r="G5" s="493"/>
      <c r="H5" s="493"/>
      <c r="I5" s="493"/>
      <c r="J5" s="493"/>
      <c r="K5" s="493"/>
      <c r="L5" s="493"/>
      <c r="M5" s="493"/>
    </row>
    <row r="6" spans="1:13" s="88" customFormat="1" ht="16.5" customHeight="1">
      <c r="A6" s="496" t="s">
        <v>5785</v>
      </c>
      <c r="B6" s="496"/>
      <c r="C6" s="493" t="s">
        <v>1222</v>
      </c>
      <c r="D6" s="493"/>
      <c r="E6" s="493"/>
      <c r="F6" s="493"/>
      <c r="G6" s="493"/>
      <c r="H6" s="493"/>
      <c r="I6" s="493"/>
      <c r="J6" s="493"/>
      <c r="K6" s="493"/>
      <c r="L6" s="493"/>
      <c r="M6" s="493"/>
    </row>
    <row r="7" spans="1:13" s="88" customFormat="1" ht="27" customHeight="1">
      <c r="A7" s="89" t="s">
        <v>1223</v>
      </c>
      <c r="B7" s="92" t="s">
        <v>1224</v>
      </c>
      <c r="C7" s="493" t="s">
        <v>1225</v>
      </c>
      <c r="D7" s="493"/>
      <c r="E7" s="493"/>
      <c r="F7" s="493"/>
      <c r="G7" s="493"/>
      <c r="H7" s="493"/>
      <c r="I7" s="493"/>
      <c r="J7" s="493"/>
      <c r="K7" s="493"/>
      <c r="L7" s="493"/>
      <c r="M7" s="493"/>
    </row>
    <row r="8" spans="1:13" s="88" customFormat="1" ht="36.6" customHeight="1">
      <c r="A8" s="89"/>
      <c r="B8" s="90" t="s">
        <v>1226</v>
      </c>
      <c r="C8" s="493" t="s">
        <v>1227</v>
      </c>
      <c r="D8" s="493"/>
      <c r="E8" s="493"/>
      <c r="F8" s="493"/>
      <c r="G8" s="493"/>
      <c r="H8" s="493"/>
      <c r="I8" s="493"/>
      <c r="J8" s="493"/>
      <c r="K8" s="493"/>
      <c r="L8" s="493"/>
      <c r="M8" s="493"/>
    </row>
    <row r="9" spans="1:13" s="88" customFormat="1" ht="36.6" customHeight="1">
      <c r="A9" s="89" t="s">
        <v>1228</v>
      </c>
      <c r="B9" s="493" t="s">
        <v>5966</v>
      </c>
      <c r="C9" s="493"/>
      <c r="D9" s="493"/>
      <c r="E9" s="493"/>
      <c r="F9" s="493"/>
      <c r="G9" s="493"/>
      <c r="H9" s="493"/>
      <c r="I9" s="493"/>
      <c r="J9" s="493"/>
      <c r="K9" s="493"/>
      <c r="L9" s="493"/>
      <c r="M9" s="493"/>
    </row>
    <row r="10" spans="1:13" ht="61.8" customHeight="1">
      <c r="A10" s="89" t="s">
        <v>1229</v>
      </c>
      <c r="B10" s="493" t="s">
        <v>1230</v>
      </c>
      <c r="C10" s="493"/>
      <c r="D10" s="493"/>
      <c r="E10" s="493"/>
      <c r="F10" s="493"/>
      <c r="G10" s="493"/>
      <c r="H10" s="493"/>
      <c r="I10" s="493"/>
      <c r="J10" s="493"/>
      <c r="K10" s="493"/>
      <c r="L10" s="493"/>
      <c r="M10" s="493"/>
    </row>
    <row r="11" spans="1:13" ht="21" customHeight="1">
      <c r="B11" s="494" t="s">
        <v>1231</v>
      </c>
      <c r="C11" s="494"/>
      <c r="D11" s="494"/>
      <c r="E11" s="494"/>
      <c r="F11" s="494"/>
      <c r="G11" s="494"/>
      <c r="H11" s="494"/>
      <c r="I11" s="494"/>
      <c r="J11" s="494"/>
      <c r="K11" s="494"/>
      <c r="L11" s="495"/>
    </row>
    <row r="12" spans="1:13" s="93" customFormat="1" ht="16.5" customHeight="1"/>
    <row r="13" spans="1:13" s="93" customFormat="1" ht="16.5" customHeight="1">
      <c r="A13" s="94" t="s">
        <v>1232</v>
      </c>
      <c r="B13" s="93" t="s">
        <v>1233</v>
      </c>
    </row>
    <row r="14" spans="1:13" s="93" customFormat="1" ht="16.5" customHeight="1"/>
    <row r="15" spans="1:13" s="93" customFormat="1" ht="16.5" customHeight="1">
      <c r="B15" s="95" t="s">
        <v>1234</v>
      </c>
      <c r="C15" s="96" t="s">
        <v>1235</v>
      </c>
      <c r="D15" s="96" t="s">
        <v>1236</v>
      </c>
      <c r="E15" s="97" t="s">
        <v>1237</v>
      </c>
      <c r="F15" s="104" t="s">
        <v>1238</v>
      </c>
      <c r="I15" s="143" t="s">
        <v>1212</v>
      </c>
      <c r="J15" s="143"/>
    </row>
    <row r="16" spans="1:13" s="93" customFormat="1" ht="16.5" customHeight="1">
      <c r="B16" s="99" t="s">
        <v>1239</v>
      </c>
      <c r="C16" s="381">
        <v>40712</v>
      </c>
      <c r="D16" s="110">
        <v>3</v>
      </c>
      <c r="E16" s="371">
        <f>EDATE(C16,D16)</f>
        <v>40804</v>
      </c>
      <c r="F16" s="108" t="s">
        <v>1240</v>
      </c>
      <c r="I16" s="143"/>
      <c r="J16" s="143"/>
    </row>
    <row r="17" spans="1:10" s="93" customFormat="1" ht="16.5" customHeight="1">
      <c r="B17" s="99" t="s">
        <v>1241</v>
      </c>
      <c r="C17" s="381">
        <v>40717</v>
      </c>
      <c r="D17" s="110">
        <v>6</v>
      </c>
      <c r="E17" s="382">
        <f>EDATE(C17,D17)</f>
        <v>40900</v>
      </c>
      <c r="F17" s="288"/>
      <c r="I17" s="143" t="s">
        <v>1213</v>
      </c>
      <c r="J17" s="143"/>
    </row>
    <row r="18" spans="1:10" s="93" customFormat="1" ht="16.5" customHeight="1">
      <c r="B18" s="105" t="s">
        <v>1242</v>
      </c>
      <c r="C18" s="383">
        <v>40726</v>
      </c>
      <c r="D18" s="113">
        <v>2</v>
      </c>
      <c r="E18" s="384">
        <f>EDATE(C18,D18)</f>
        <v>40788</v>
      </c>
      <c r="I18" s="143" t="s">
        <v>1214</v>
      </c>
      <c r="J18" s="143"/>
    </row>
    <row r="19" spans="1:10" s="93" customFormat="1" ht="16.5" customHeight="1">
      <c r="I19" s="143" t="s">
        <v>1215</v>
      </c>
      <c r="J19" s="143"/>
    </row>
    <row r="20" spans="1:10" s="93" customFormat="1" ht="16.5" customHeight="1">
      <c r="B20" s="518" t="s">
        <v>1243</v>
      </c>
      <c r="C20" s="518"/>
      <c r="D20" s="518"/>
      <c r="E20" s="518"/>
      <c r="F20" s="518"/>
    </row>
    <row r="21" spans="1:10" s="93" customFormat="1" ht="16.5" customHeight="1"/>
    <row r="22" spans="1:10" s="93" customFormat="1" ht="16.5" customHeight="1">
      <c r="A22" s="94" t="s">
        <v>1244</v>
      </c>
      <c r="B22" s="93" t="s">
        <v>1245</v>
      </c>
    </row>
    <row r="23" spans="1:10" s="93" customFormat="1" ht="16.5" customHeight="1"/>
    <row r="24" spans="1:10" s="93" customFormat="1" ht="16.5" customHeight="1">
      <c r="B24" s="95" t="s">
        <v>1246</v>
      </c>
      <c r="C24" s="369" t="s">
        <v>1247</v>
      </c>
      <c r="D24" s="369" t="s">
        <v>1248</v>
      </c>
      <c r="E24" s="304" t="s">
        <v>1249</v>
      </c>
      <c r="F24" s="104" t="s">
        <v>1238</v>
      </c>
    </row>
    <row r="25" spans="1:10" s="93" customFormat="1" ht="16.5" customHeight="1">
      <c r="B25" s="99" t="s">
        <v>1250</v>
      </c>
      <c r="C25" s="381">
        <v>40514</v>
      </c>
      <c r="D25" s="110">
        <v>12</v>
      </c>
      <c r="E25" s="371">
        <f>EDATE(C25,D25)</f>
        <v>40879</v>
      </c>
      <c r="F25" s="108" t="s">
        <v>1251</v>
      </c>
    </row>
    <row r="26" spans="1:10" s="93" customFormat="1" ht="16.5" customHeight="1">
      <c r="B26" s="99" t="s">
        <v>1252</v>
      </c>
      <c r="C26" s="381">
        <v>40549</v>
      </c>
      <c r="D26" s="110">
        <v>12</v>
      </c>
      <c r="E26" s="371">
        <f>EDATE(C26,D26)</f>
        <v>40914</v>
      </c>
    </row>
    <row r="27" spans="1:10" s="93" customFormat="1" ht="16.5" customHeight="1">
      <c r="B27" s="105" t="s">
        <v>1253</v>
      </c>
      <c r="C27" s="383">
        <v>40781</v>
      </c>
      <c r="D27" s="113">
        <v>12</v>
      </c>
      <c r="E27" s="384">
        <f>EDATE(C27,D27)</f>
        <v>41147</v>
      </c>
    </row>
    <row r="28" spans="1:10" s="93" customFormat="1" ht="16.5" customHeight="1"/>
    <row r="29" spans="1:10" s="93" customFormat="1" ht="16.5" customHeight="1">
      <c r="B29" s="93" t="s">
        <v>1254</v>
      </c>
    </row>
    <row r="30" spans="1:10" s="93" customFormat="1" ht="16.5" customHeight="1"/>
    <row r="31" spans="1:10" s="93" customFormat="1" ht="16.5" customHeight="1"/>
    <row r="32" spans="1:10" s="93" customFormat="1" ht="16.5" customHeight="1">
      <c r="A32" s="94" t="s">
        <v>1255</v>
      </c>
      <c r="B32" s="93" t="s">
        <v>1256</v>
      </c>
    </row>
    <row r="33" spans="2:8" s="93" customFormat="1" ht="16.5" customHeight="1"/>
    <row r="34" spans="2:8" s="93" customFormat="1" ht="16.5" customHeight="1">
      <c r="B34" s="95" t="s">
        <v>1246</v>
      </c>
      <c r="C34" s="369" t="s">
        <v>1247</v>
      </c>
      <c r="D34" s="369" t="s">
        <v>1248</v>
      </c>
      <c r="E34" s="369" t="s">
        <v>1249</v>
      </c>
      <c r="F34" s="97" t="s">
        <v>1257</v>
      </c>
      <c r="G34" s="158" t="s">
        <v>1238</v>
      </c>
    </row>
    <row r="35" spans="2:8" s="93" customFormat="1" ht="16.5" customHeight="1">
      <c r="B35" s="99" t="s">
        <v>1250</v>
      </c>
      <c r="C35" s="385">
        <v>40489</v>
      </c>
      <c r="D35" s="110">
        <v>12</v>
      </c>
      <c r="E35" s="385">
        <f>EDATE(C35,D35)</f>
        <v>40854</v>
      </c>
      <c r="F35" s="112" t="str">
        <f ca="1">IF(MONTH(C39)=MONTH(C35),"发放","")</f>
        <v/>
      </c>
      <c r="G35" s="108" t="s">
        <v>1258</v>
      </c>
      <c r="H35" s="319"/>
    </row>
    <row r="36" spans="2:8" s="93" customFormat="1" ht="16.5" customHeight="1">
      <c r="B36" s="99" t="s">
        <v>1252</v>
      </c>
      <c r="C36" s="385">
        <v>40822</v>
      </c>
      <c r="D36" s="110">
        <v>12</v>
      </c>
      <c r="E36" s="385">
        <f>EDATE(C36,D36)</f>
        <v>41188</v>
      </c>
      <c r="F36" s="112" t="str">
        <f ca="1">IF(MONTH(C39)=MONTH(C36),"发放","")</f>
        <v/>
      </c>
    </row>
    <row r="37" spans="2:8" s="93" customFormat="1" ht="16.5" customHeight="1">
      <c r="B37" s="105" t="s">
        <v>1253</v>
      </c>
      <c r="C37" s="343">
        <v>40781</v>
      </c>
      <c r="D37" s="113">
        <v>12</v>
      </c>
      <c r="E37" s="343">
        <f>EDATE(C37,D37)</f>
        <v>41147</v>
      </c>
      <c r="F37" s="150" t="str">
        <f ca="1">IF(MONTH(C39)=MONTH(C37),"发放","")</f>
        <v/>
      </c>
    </row>
    <row r="38" spans="2:8" s="93" customFormat="1" ht="16.5" customHeight="1"/>
    <row r="39" spans="2:8" s="93" customFormat="1" ht="16.5" customHeight="1">
      <c r="B39" s="386" t="s">
        <v>1259</v>
      </c>
      <c r="C39" s="387">
        <f ca="1">TODAY()</f>
        <v>44973</v>
      </c>
      <c r="D39" s="312"/>
    </row>
    <row r="40" spans="2:8" s="93" customFormat="1" ht="16.5" customHeight="1">
      <c r="B40" s="158" t="s">
        <v>1238</v>
      </c>
      <c r="C40" s="108" t="s">
        <v>1260</v>
      </c>
    </row>
    <row r="41" spans="2:8" s="93" customFormat="1" ht="16.5" customHeight="1"/>
    <row r="42" spans="2:8" s="93" customFormat="1" ht="16.5" customHeight="1">
      <c r="B42" s="93" t="s">
        <v>1261</v>
      </c>
    </row>
    <row r="43" spans="2:8" s="93" customFormat="1" ht="16.5" customHeight="1">
      <c r="B43" s="94" t="s">
        <v>77</v>
      </c>
      <c r="C43" s="93" t="s">
        <v>1262</v>
      </c>
    </row>
    <row r="44" spans="2:8" s="93" customFormat="1" ht="16.5" customHeight="1">
      <c r="B44" s="94" t="s">
        <v>69</v>
      </c>
      <c r="C44" s="93" t="s">
        <v>1263</v>
      </c>
    </row>
    <row r="45" spans="2:8" s="93" customFormat="1" ht="16.5" customHeight="1"/>
    <row r="46" spans="2:8" s="93" customFormat="1" ht="16.5" customHeight="1">
      <c r="B46" s="93" t="s">
        <v>1264</v>
      </c>
    </row>
    <row r="47" spans="2:8" s="93" customFormat="1" ht="16.5" customHeight="1"/>
    <row r="48" spans="2:8" s="93" customFormat="1" ht="16.5" customHeight="1"/>
    <row r="49" s="93" customFormat="1" ht="16.5" customHeight="1"/>
    <row r="50" s="93" customFormat="1" ht="16.5" customHeight="1"/>
    <row r="51" s="93" customFormat="1" ht="16.5" customHeight="1"/>
    <row r="52" s="93" customFormat="1" ht="16.5" customHeight="1"/>
    <row r="53" s="93" customFormat="1" ht="16.5" customHeight="1"/>
    <row r="54" s="93" customFormat="1" ht="16.5" customHeight="1"/>
    <row r="55" s="93" customFormat="1" ht="16.5" customHeight="1"/>
    <row r="56" s="93" customFormat="1" ht="16.5" customHeight="1"/>
    <row r="57" s="93" customFormat="1" ht="16.5" customHeight="1"/>
    <row r="58" s="93" customFormat="1" ht="16.5" customHeight="1"/>
    <row r="59" s="93" customFormat="1" ht="16.5" customHeight="1"/>
    <row r="60" s="93" customFormat="1" ht="16.5" customHeight="1"/>
    <row r="61" s="93" customFormat="1" ht="16.5" customHeight="1"/>
    <row r="62" s="93" customFormat="1" ht="16.5" customHeight="1"/>
    <row r="63" s="93" customFormat="1" ht="16.5" customHeight="1"/>
    <row r="64" s="93" customFormat="1" ht="16.5" customHeight="1"/>
    <row r="65" s="93" customFormat="1" ht="16.5" customHeight="1"/>
    <row r="66" s="93" customFormat="1" ht="16.5" customHeight="1"/>
    <row r="67" s="93" customFormat="1" ht="16.5" customHeight="1"/>
    <row r="68" s="93" customFormat="1" ht="16.5" customHeight="1"/>
    <row r="69" s="93" customFormat="1" ht="16.5" customHeight="1"/>
    <row r="70" s="93" customFormat="1" ht="16.5" customHeight="1"/>
    <row r="71" s="93" customFormat="1" ht="16.5" customHeight="1"/>
    <row r="72" s="93" customFormat="1" ht="16.5" customHeight="1"/>
    <row r="73" s="93" customFormat="1" ht="16.5" customHeight="1"/>
    <row r="74" s="93" customFormat="1" ht="16.5" customHeight="1"/>
    <row r="75" s="93" customFormat="1" ht="16.5" customHeight="1"/>
    <row r="76" s="93" customFormat="1" ht="16.5" customHeight="1"/>
    <row r="77" s="93" customFormat="1" ht="16.5" customHeight="1"/>
    <row r="78" s="93" customFormat="1" ht="16.5" customHeight="1"/>
    <row r="79" s="93" customFormat="1" ht="16.5" customHeight="1"/>
    <row r="80" s="93" customFormat="1" ht="16.5" customHeight="1"/>
    <row r="81" s="93" customFormat="1" ht="16.5" customHeight="1"/>
    <row r="82" s="93" customFormat="1" ht="16.5" customHeight="1"/>
    <row r="83" s="93" customFormat="1" ht="16.5" customHeight="1"/>
    <row r="84" s="93" customFormat="1" ht="16.5" customHeight="1"/>
    <row r="85" s="93" customFormat="1" ht="16.5" customHeight="1"/>
    <row r="86" s="93" customFormat="1" ht="16.5" customHeight="1"/>
    <row r="87" s="93" customFormat="1" ht="16.5" customHeight="1"/>
    <row r="88" s="93" customFormat="1" ht="16.5" customHeight="1"/>
    <row r="89" s="93" customFormat="1" ht="16.5" customHeight="1"/>
    <row r="90" s="93" customFormat="1" ht="16.5" customHeight="1"/>
    <row r="91" s="93" customFormat="1" ht="16.5" customHeight="1"/>
    <row r="92" s="93" customFormat="1" ht="16.5" customHeight="1"/>
    <row r="93" s="93" customFormat="1" ht="16.5" customHeight="1"/>
    <row r="94" s="93" customFormat="1" ht="16.5" customHeight="1"/>
    <row r="100" spans="1:14" s="88" customFormat="1" ht="26.25" customHeight="1">
      <c r="A100" s="498" t="s">
        <v>35</v>
      </c>
      <c r="B100" s="498"/>
      <c r="C100" s="499"/>
      <c r="D100" s="87"/>
      <c r="E100" s="500" t="str">
        <f>HYPERLINK("#目录!A25","跳转回到目录页")</f>
        <v>跳转回到目录页</v>
      </c>
      <c r="F100" s="501"/>
    </row>
    <row r="101" spans="1:14" s="88" customFormat="1" ht="26.25" customHeight="1">
      <c r="A101" s="502" t="s">
        <v>1216</v>
      </c>
      <c r="B101" s="502"/>
      <c r="C101" s="503" t="s">
        <v>36</v>
      </c>
      <c r="D101" s="503"/>
      <c r="E101" s="503"/>
      <c r="F101" s="503"/>
      <c r="G101" s="503"/>
      <c r="H101" s="503"/>
      <c r="I101" s="503"/>
      <c r="J101" s="503"/>
      <c r="K101" s="503"/>
      <c r="L101" s="503"/>
      <c r="M101" s="503"/>
    </row>
    <row r="102" spans="1:14" s="88" customFormat="1" ht="24.75" customHeight="1">
      <c r="A102" s="496" t="s">
        <v>1217</v>
      </c>
      <c r="B102" s="496"/>
      <c r="C102" s="493" t="s">
        <v>1265</v>
      </c>
      <c r="D102" s="493"/>
      <c r="E102" s="493"/>
      <c r="F102" s="493"/>
      <c r="G102" s="493"/>
      <c r="H102" s="493"/>
      <c r="I102" s="493"/>
      <c r="J102" s="493"/>
      <c r="K102" s="493"/>
      <c r="L102" s="493"/>
      <c r="M102" s="493"/>
    </row>
    <row r="103" spans="1:14" s="88" customFormat="1" ht="26.4" customHeight="1">
      <c r="A103" s="496" t="s">
        <v>5786</v>
      </c>
      <c r="B103" s="496"/>
      <c r="C103" s="510" t="s">
        <v>1266</v>
      </c>
      <c r="D103" s="510"/>
      <c r="E103" s="510"/>
      <c r="F103" s="510"/>
      <c r="G103" s="510"/>
      <c r="H103" s="510"/>
      <c r="I103" s="510"/>
      <c r="J103" s="510"/>
      <c r="K103" s="510"/>
      <c r="L103" s="510"/>
      <c r="M103" s="510"/>
    </row>
    <row r="104" spans="1:14" s="88" customFormat="1" ht="16.5" customHeight="1">
      <c r="A104" s="496" t="s">
        <v>1220</v>
      </c>
      <c r="B104" s="496"/>
      <c r="C104" s="493" t="s">
        <v>1267</v>
      </c>
      <c r="D104" s="493"/>
      <c r="E104" s="493"/>
      <c r="F104" s="493"/>
      <c r="G104" s="493"/>
      <c r="H104" s="493"/>
      <c r="I104" s="493"/>
      <c r="J104" s="493"/>
      <c r="K104" s="493"/>
      <c r="L104" s="493"/>
      <c r="M104" s="493"/>
      <c r="N104" s="233"/>
    </row>
    <row r="105" spans="1:14" s="88" customFormat="1" ht="16.5" customHeight="1">
      <c r="A105" s="496" t="s">
        <v>5785</v>
      </c>
      <c r="B105" s="496"/>
      <c r="C105" s="493" t="s">
        <v>1268</v>
      </c>
      <c r="D105" s="493"/>
      <c r="E105" s="493"/>
      <c r="F105" s="493"/>
      <c r="G105" s="493"/>
      <c r="H105" s="493"/>
      <c r="I105" s="493"/>
      <c r="J105" s="493"/>
      <c r="K105" s="493"/>
      <c r="L105" s="493"/>
      <c r="M105" s="493"/>
    </row>
    <row r="106" spans="1:14" s="88" customFormat="1" ht="16.5" customHeight="1">
      <c r="A106" s="89" t="s">
        <v>1223</v>
      </c>
      <c r="B106" s="92" t="s">
        <v>1224</v>
      </c>
      <c r="C106" s="493" t="s">
        <v>1269</v>
      </c>
      <c r="D106" s="493"/>
      <c r="E106" s="493"/>
      <c r="F106" s="493"/>
      <c r="G106" s="493"/>
      <c r="H106" s="493"/>
      <c r="I106" s="493"/>
      <c r="J106" s="493"/>
      <c r="K106" s="493"/>
      <c r="L106" s="493"/>
      <c r="M106" s="493"/>
    </row>
    <row r="107" spans="1:14" s="88" customFormat="1" ht="24.75" customHeight="1">
      <c r="A107" s="89"/>
      <c r="B107" s="90" t="s">
        <v>1226</v>
      </c>
      <c r="C107" s="493" t="s">
        <v>1270</v>
      </c>
      <c r="D107" s="493"/>
      <c r="E107" s="493"/>
      <c r="F107" s="493"/>
      <c r="G107" s="493"/>
      <c r="H107" s="493"/>
      <c r="I107" s="493"/>
      <c r="J107" s="493"/>
      <c r="K107" s="493"/>
      <c r="L107" s="493"/>
      <c r="M107" s="493"/>
    </row>
    <row r="108" spans="1:14" s="88" customFormat="1" ht="24.75" customHeight="1">
      <c r="A108" s="89" t="s">
        <v>1228</v>
      </c>
      <c r="B108" s="493" t="s">
        <v>5966</v>
      </c>
      <c r="C108" s="493"/>
      <c r="D108" s="493"/>
      <c r="E108" s="493"/>
      <c r="F108" s="493"/>
      <c r="G108" s="493"/>
      <c r="H108" s="493"/>
      <c r="I108" s="493"/>
      <c r="J108" s="493"/>
      <c r="K108" s="493"/>
      <c r="L108" s="493"/>
      <c r="M108" s="493"/>
    </row>
    <row r="109" spans="1:14" ht="49.5" customHeight="1">
      <c r="A109" s="89" t="s">
        <v>1229</v>
      </c>
      <c r="B109" s="493" t="s">
        <v>1271</v>
      </c>
      <c r="C109" s="493"/>
      <c r="D109" s="493"/>
      <c r="E109" s="493"/>
      <c r="F109" s="493"/>
      <c r="G109" s="493"/>
      <c r="H109" s="493"/>
      <c r="I109" s="493"/>
      <c r="J109" s="493"/>
      <c r="K109" s="493"/>
      <c r="L109" s="493"/>
      <c r="M109" s="493"/>
    </row>
    <row r="110" spans="1:14" ht="21" customHeight="1">
      <c r="B110" s="494" t="s">
        <v>1231</v>
      </c>
      <c r="C110" s="494"/>
      <c r="D110" s="494"/>
      <c r="E110" s="494"/>
      <c r="F110" s="494"/>
      <c r="G110" s="494"/>
      <c r="H110" s="494"/>
      <c r="I110" s="494"/>
      <c r="J110" s="494"/>
      <c r="K110" s="494"/>
      <c r="L110" s="495"/>
    </row>
    <row r="111" spans="1:14" s="93" customFormat="1" ht="16.5" customHeight="1"/>
    <row r="112" spans="1:14" s="93" customFormat="1" ht="16.5" customHeight="1">
      <c r="A112" s="94" t="s">
        <v>1232</v>
      </c>
      <c r="B112" s="93" t="s">
        <v>1272</v>
      </c>
    </row>
    <row r="113" spans="2:7" s="93" customFormat="1" ht="16.5" customHeight="1"/>
    <row r="114" spans="2:7" s="93" customFormat="1" ht="16.5" customHeight="1">
      <c r="B114" s="518" t="s">
        <v>1273</v>
      </c>
      <c r="C114" s="518"/>
      <c r="D114" s="518"/>
      <c r="E114" s="518"/>
      <c r="F114" s="94"/>
    </row>
    <row r="115" spans="2:7" s="93" customFormat="1" ht="16.5" customHeight="1">
      <c r="B115" s="95" t="s">
        <v>1274</v>
      </c>
      <c r="C115" s="388" t="s">
        <v>1275</v>
      </c>
      <c r="D115" s="96" t="s">
        <v>1276</v>
      </c>
      <c r="E115" s="389" t="s">
        <v>1277</v>
      </c>
      <c r="F115" s="511" t="s">
        <v>1238</v>
      </c>
      <c r="G115" s="512"/>
    </row>
    <row r="116" spans="2:7" s="93" customFormat="1" ht="16.5" customHeight="1">
      <c r="B116" s="99" t="s">
        <v>1278</v>
      </c>
      <c r="C116" s="230" t="s">
        <v>1279</v>
      </c>
      <c r="D116" s="230">
        <v>40816</v>
      </c>
      <c r="E116" s="382">
        <f>EOMONTH(D116,0)</f>
        <v>40816</v>
      </c>
      <c r="F116" s="513" t="s">
        <v>5967</v>
      </c>
      <c r="G116" s="514"/>
    </row>
    <row r="117" spans="2:7" s="93" customFormat="1" ht="16.5" customHeight="1">
      <c r="B117" s="99" t="s">
        <v>1280</v>
      </c>
      <c r="C117" s="230" t="s">
        <v>1281</v>
      </c>
      <c r="D117" s="230">
        <v>40816</v>
      </c>
      <c r="E117" s="382">
        <f>EOMONTH(D117,2)</f>
        <v>40877</v>
      </c>
      <c r="F117" s="515" t="s">
        <v>5968</v>
      </c>
      <c r="G117" s="516"/>
    </row>
    <row r="118" spans="2:7" s="93" customFormat="1" ht="16.5" customHeight="1">
      <c r="B118" s="105" t="s">
        <v>1282</v>
      </c>
      <c r="C118" s="378" t="s">
        <v>1283</v>
      </c>
      <c r="D118" s="390">
        <v>40816</v>
      </c>
      <c r="E118" s="391">
        <f>EOMONTH(D118,3)</f>
        <v>40908</v>
      </c>
      <c r="F118" s="517" t="s">
        <v>5969</v>
      </c>
      <c r="G118" s="516"/>
    </row>
    <row r="119" spans="2:7" s="93" customFormat="1" ht="16.5" customHeight="1"/>
    <row r="193" spans="1:14" ht="14.25" customHeight="1"/>
    <row r="200" spans="1:14" s="88" customFormat="1" ht="26.25" customHeight="1">
      <c r="A200" s="498" t="s">
        <v>37</v>
      </c>
      <c r="B200" s="498"/>
      <c r="C200" s="499"/>
      <c r="D200" s="87"/>
      <c r="E200" s="500" t="str">
        <f>HYPERLINK("#目录!A26","跳转回到目录页")</f>
        <v>跳转回到目录页</v>
      </c>
      <c r="F200" s="501"/>
    </row>
    <row r="201" spans="1:14" s="88" customFormat="1" ht="26.25" customHeight="1">
      <c r="A201" s="502" t="s">
        <v>1216</v>
      </c>
      <c r="B201" s="502"/>
      <c r="C201" s="503" t="s">
        <v>38</v>
      </c>
      <c r="D201" s="503"/>
      <c r="E201" s="503"/>
      <c r="F201" s="503"/>
      <c r="G201" s="503"/>
      <c r="H201" s="503"/>
      <c r="I201" s="503"/>
      <c r="J201" s="503"/>
      <c r="K201" s="503"/>
      <c r="L201" s="503"/>
      <c r="M201" s="503"/>
    </row>
    <row r="202" spans="1:14" s="88" customFormat="1" ht="24.75" customHeight="1">
      <c r="A202" s="496" t="s">
        <v>1217</v>
      </c>
      <c r="B202" s="496"/>
      <c r="C202" s="493" t="s">
        <v>1284</v>
      </c>
      <c r="D202" s="493"/>
      <c r="E202" s="493"/>
      <c r="F202" s="493"/>
      <c r="G202" s="493"/>
      <c r="H202" s="493"/>
      <c r="I202" s="493"/>
      <c r="J202" s="493"/>
      <c r="K202" s="493"/>
      <c r="L202" s="493"/>
      <c r="M202" s="493"/>
      <c r="N202" s="92"/>
    </row>
    <row r="203" spans="1:14" s="88" customFormat="1" ht="16.5" customHeight="1">
      <c r="A203" s="496" t="s">
        <v>5786</v>
      </c>
      <c r="B203" s="496"/>
      <c r="C203" s="510" t="s">
        <v>1285</v>
      </c>
      <c r="D203" s="510"/>
      <c r="E203" s="510"/>
      <c r="F203" s="510"/>
      <c r="G203" s="510"/>
      <c r="H203" s="510"/>
      <c r="I203" s="510"/>
      <c r="J203" s="510"/>
      <c r="K203" s="510"/>
      <c r="L203" s="510"/>
      <c r="M203" s="510"/>
    </row>
    <row r="204" spans="1:14" s="88" customFormat="1" ht="16.5" customHeight="1">
      <c r="A204" s="496" t="s">
        <v>1220</v>
      </c>
      <c r="B204" s="496"/>
      <c r="C204" s="493" t="s">
        <v>1286</v>
      </c>
      <c r="D204" s="493"/>
      <c r="E204" s="493"/>
      <c r="F204" s="493"/>
      <c r="G204" s="493"/>
      <c r="H204" s="493"/>
      <c r="I204" s="493"/>
      <c r="J204" s="493"/>
      <c r="K204" s="493"/>
      <c r="L204" s="493"/>
      <c r="M204" s="493"/>
    </row>
    <row r="205" spans="1:14" s="88" customFormat="1" ht="16.5" customHeight="1">
      <c r="A205" s="496" t="s">
        <v>5785</v>
      </c>
      <c r="B205" s="496"/>
      <c r="C205" s="493" t="s">
        <v>1287</v>
      </c>
      <c r="D205" s="493"/>
      <c r="E205" s="493"/>
      <c r="F205" s="493"/>
      <c r="G205" s="493"/>
      <c r="H205" s="493"/>
      <c r="I205" s="493"/>
      <c r="J205" s="493"/>
      <c r="K205" s="493"/>
      <c r="L205" s="493"/>
      <c r="M205" s="493"/>
    </row>
    <row r="206" spans="1:14" s="88" customFormat="1" ht="16.5" customHeight="1">
      <c r="A206" s="89"/>
      <c r="B206" s="90" t="s">
        <v>1224</v>
      </c>
      <c r="C206" s="493" t="s">
        <v>1288</v>
      </c>
      <c r="D206" s="493"/>
      <c r="E206" s="493"/>
      <c r="F206" s="493"/>
      <c r="G206" s="493"/>
      <c r="H206" s="493"/>
      <c r="I206" s="493"/>
      <c r="J206" s="493"/>
      <c r="K206" s="493"/>
      <c r="L206" s="493"/>
      <c r="M206" s="493"/>
    </row>
    <row r="207" spans="1:14" s="88" customFormat="1" ht="24.75" customHeight="1">
      <c r="A207" s="89"/>
      <c r="B207" s="90" t="s">
        <v>1289</v>
      </c>
      <c r="C207" s="493" t="s">
        <v>1290</v>
      </c>
      <c r="D207" s="493"/>
      <c r="E207" s="493"/>
      <c r="F207" s="493"/>
      <c r="G207" s="493"/>
      <c r="H207" s="493"/>
      <c r="I207" s="493"/>
      <c r="J207" s="493"/>
      <c r="K207" s="493"/>
      <c r="L207" s="493"/>
      <c r="M207" s="493"/>
    </row>
    <row r="208" spans="1:14" s="88" customFormat="1" ht="24.75" customHeight="1">
      <c r="A208" s="89"/>
      <c r="B208" s="90" t="s">
        <v>1291</v>
      </c>
      <c r="C208" s="493" t="s">
        <v>1292</v>
      </c>
      <c r="D208" s="493"/>
      <c r="E208" s="493"/>
      <c r="F208" s="493"/>
      <c r="G208" s="493"/>
      <c r="H208" s="493"/>
      <c r="I208" s="493"/>
      <c r="J208" s="493"/>
      <c r="K208" s="493"/>
      <c r="L208" s="493"/>
      <c r="M208" s="493"/>
    </row>
    <row r="209" spans="1:13" s="88" customFormat="1" ht="16.5" customHeight="1">
      <c r="A209" s="89" t="s">
        <v>1228</v>
      </c>
      <c r="B209" s="493" t="s">
        <v>1293</v>
      </c>
      <c r="C209" s="493"/>
      <c r="D209" s="493"/>
      <c r="E209" s="493"/>
      <c r="F209" s="493"/>
      <c r="G209" s="493"/>
      <c r="H209" s="493"/>
      <c r="I209" s="493"/>
      <c r="J209" s="493"/>
      <c r="K209" s="493"/>
      <c r="L209" s="493"/>
      <c r="M209" s="493"/>
    </row>
    <row r="210" spans="1:13" ht="36.75" customHeight="1">
      <c r="A210" s="89" t="s">
        <v>1229</v>
      </c>
      <c r="B210" s="493" t="s">
        <v>1294</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1295</v>
      </c>
    </row>
    <row r="214" spans="1:13" s="93" customFormat="1" ht="24.75" customHeight="1">
      <c r="B214" s="509" t="s">
        <v>1296</v>
      </c>
      <c r="C214" s="509"/>
      <c r="D214" s="509"/>
      <c r="E214" s="509"/>
      <c r="F214" s="509"/>
      <c r="G214" s="509"/>
      <c r="H214" s="509"/>
      <c r="I214" s="509"/>
      <c r="J214" s="509"/>
      <c r="K214" s="509"/>
      <c r="L214" s="509"/>
      <c r="M214" s="92"/>
    </row>
    <row r="215" spans="1:13" s="93" customFormat="1" ht="16.5" customHeight="1"/>
    <row r="216" spans="1:13" s="93" customFormat="1" ht="16.5" customHeight="1">
      <c r="B216" s="95" t="s">
        <v>1297</v>
      </c>
      <c r="C216" s="389">
        <v>40816</v>
      </c>
      <c r="D216" s="104" t="s">
        <v>1238</v>
      </c>
      <c r="E216" s="94"/>
      <c r="F216" s="94"/>
    </row>
    <row r="217" spans="1:13" s="93" customFormat="1" ht="16.5" customHeight="1">
      <c r="B217" s="151" t="s">
        <v>1298</v>
      </c>
      <c r="C217" s="391">
        <f>WORKDAY(C216,4,D219:D221)</f>
        <v>40827</v>
      </c>
      <c r="D217" s="108" t="s">
        <v>1299</v>
      </c>
      <c r="E217" s="148"/>
    </row>
    <row r="218" spans="1:13" s="93" customFormat="1" ht="16.5" customHeight="1">
      <c r="C218" s="148"/>
      <c r="E218" s="323"/>
      <c r="F218" s="288"/>
    </row>
    <row r="219" spans="1:13" s="93" customFormat="1" ht="16.5" customHeight="1">
      <c r="B219" s="392" t="s">
        <v>1300</v>
      </c>
      <c r="C219" s="393" t="s">
        <v>1301</v>
      </c>
      <c r="D219" s="394">
        <v>40819</v>
      </c>
      <c r="E219" s="148"/>
    </row>
    <row r="220" spans="1:13" s="93" customFormat="1" ht="16.5" customHeight="1">
      <c r="B220" s="395"/>
      <c r="C220" s="381" t="s">
        <v>1301</v>
      </c>
      <c r="D220" s="371">
        <v>40820</v>
      </c>
    </row>
    <row r="221" spans="1:13" s="93" customFormat="1" ht="16.5" customHeight="1">
      <c r="B221" s="396"/>
      <c r="C221" s="383" t="s">
        <v>1301</v>
      </c>
      <c r="D221" s="384">
        <v>40821</v>
      </c>
    </row>
    <row r="222" spans="1:13" ht="16.5" customHeight="1"/>
    <row r="223" spans="1:13" ht="16.5" customHeight="1"/>
    <row r="224" spans="1:13" ht="16.5" customHeight="1"/>
    <row r="225" s="4" customFormat="1" ht="16.5" customHeight="1"/>
    <row r="226" s="4" customFormat="1" ht="16.5" customHeight="1"/>
    <row r="227" s="4" customFormat="1" ht="16.5" customHeight="1"/>
    <row r="228" s="4" customFormat="1" ht="16.5" customHeight="1"/>
    <row r="229" s="4" customFormat="1" ht="16.5" customHeight="1"/>
    <row r="230" s="4" customFormat="1" ht="16.5" customHeight="1"/>
    <row r="231" s="4" customFormat="1" ht="16.5" customHeight="1"/>
    <row r="232" s="4" customFormat="1" ht="16.5" customHeight="1"/>
    <row r="233" s="4" customFormat="1" ht="16.5" customHeight="1"/>
    <row r="234" s="4" customFormat="1" ht="16.5" customHeight="1"/>
    <row r="235" s="4" customFormat="1" ht="16.5" customHeight="1"/>
    <row r="236" s="4" customFormat="1" ht="16.5" customHeight="1"/>
    <row r="237" s="4" customFormat="1" ht="16.5" customHeight="1"/>
    <row r="238" s="4" customFormat="1" ht="16.5" customHeight="1"/>
    <row r="239" s="4" customFormat="1" ht="16.5" customHeight="1"/>
    <row r="240" s="4" customFormat="1" ht="16.5" customHeight="1"/>
    <row r="241" s="4" customFormat="1" ht="16.5" customHeight="1"/>
    <row r="242" s="4" customFormat="1" ht="16.5" customHeight="1"/>
    <row r="243" s="4" customFormat="1" ht="16.5" customHeight="1"/>
    <row r="244" s="4" customFormat="1" ht="16.5" customHeight="1"/>
    <row r="245" s="4" customFormat="1" ht="16.5" customHeight="1"/>
    <row r="246" s="4" customFormat="1" ht="16.5" customHeight="1"/>
    <row r="247" s="4" customFormat="1" ht="16.5" customHeight="1"/>
    <row r="248" s="4" customFormat="1" ht="16.5" customHeight="1"/>
    <row r="249" s="4" customFormat="1" ht="16.5" customHeight="1"/>
    <row r="300" spans="1:13" s="88" customFormat="1" ht="26.25" customHeight="1">
      <c r="A300" s="498" t="s">
        <v>41</v>
      </c>
      <c r="B300" s="498"/>
      <c r="C300" s="499"/>
      <c r="D300" s="87"/>
      <c r="E300" s="500" t="str">
        <f>HYPERLINK("#目录!A27","跳转回到目录页")</f>
        <v>跳转回到目录页</v>
      </c>
      <c r="F300" s="501"/>
    </row>
    <row r="301" spans="1:13" s="88" customFormat="1" ht="26.25" customHeight="1">
      <c r="A301" s="502" t="s">
        <v>1216</v>
      </c>
      <c r="B301" s="502"/>
      <c r="C301" s="503" t="s">
        <v>42</v>
      </c>
      <c r="D301" s="503"/>
      <c r="E301" s="503"/>
      <c r="F301" s="503"/>
      <c r="G301" s="503"/>
      <c r="H301" s="503"/>
      <c r="I301" s="503"/>
      <c r="J301" s="503"/>
      <c r="K301" s="503"/>
      <c r="L301" s="503"/>
      <c r="M301" s="503"/>
    </row>
    <row r="302" spans="1:13" s="88" customFormat="1" ht="16.5" customHeight="1">
      <c r="A302" s="496" t="s">
        <v>1217</v>
      </c>
      <c r="B302" s="496"/>
      <c r="C302" s="493" t="s">
        <v>1302</v>
      </c>
      <c r="D302" s="493"/>
      <c r="E302" s="493"/>
      <c r="F302" s="493"/>
      <c r="G302" s="493"/>
      <c r="H302" s="493"/>
      <c r="I302" s="493"/>
      <c r="J302" s="493"/>
      <c r="K302" s="493"/>
      <c r="L302" s="493"/>
      <c r="M302" s="493"/>
    </row>
    <row r="303" spans="1:13" s="88" customFormat="1" ht="16.5" customHeight="1">
      <c r="A303" s="496" t="s">
        <v>5786</v>
      </c>
      <c r="B303" s="496"/>
      <c r="C303" s="497" t="s">
        <v>1303</v>
      </c>
      <c r="D303" s="497"/>
      <c r="E303" s="497"/>
      <c r="F303" s="497"/>
      <c r="G303" s="497"/>
      <c r="H303" s="497"/>
      <c r="I303" s="497"/>
      <c r="J303" s="497"/>
      <c r="K303" s="497"/>
      <c r="L303" s="497"/>
      <c r="M303" s="497"/>
    </row>
    <row r="304" spans="1:13" s="88" customFormat="1" ht="16.5" customHeight="1">
      <c r="A304" s="496" t="s">
        <v>1220</v>
      </c>
      <c r="B304" s="496"/>
      <c r="C304" s="493" t="s">
        <v>1304</v>
      </c>
      <c r="D304" s="493"/>
      <c r="E304" s="493"/>
      <c r="F304" s="493"/>
      <c r="G304" s="493"/>
      <c r="H304" s="493"/>
      <c r="I304" s="493"/>
      <c r="J304" s="493"/>
      <c r="K304" s="493"/>
      <c r="L304" s="493"/>
      <c r="M304" s="493"/>
    </row>
    <row r="305" spans="1:13" s="88" customFormat="1" ht="16.5" customHeight="1">
      <c r="A305" s="496" t="s">
        <v>5785</v>
      </c>
      <c r="B305" s="496"/>
      <c r="C305" s="493" t="s">
        <v>1305</v>
      </c>
      <c r="D305" s="493"/>
      <c r="E305" s="493"/>
      <c r="F305" s="493"/>
      <c r="G305" s="493"/>
      <c r="H305" s="493"/>
      <c r="I305" s="493"/>
      <c r="J305" s="493"/>
      <c r="K305" s="493"/>
      <c r="L305" s="493"/>
      <c r="M305" s="493"/>
    </row>
    <row r="306" spans="1:13" s="88" customFormat="1" ht="16.5" customHeight="1">
      <c r="A306" s="89" t="s">
        <v>1223</v>
      </c>
      <c r="B306" s="92" t="s">
        <v>1224</v>
      </c>
      <c r="C306" s="493" t="s">
        <v>1306</v>
      </c>
      <c r="D306" s="493"/>
      <c r="E306" s="493"/>
      <c r="F306" s="493"/>
      <c r="G306" s="493"/>
      <c r="H306" s="493"/>
      <c r="I306" s="493"/>
      <c r="J306" s="493"/>
      <c r="K306" s="493"/>
      <c r="L306" s="493"/>
      <c r="M306" s="493"/>
    </row>
    <row r="307" spans="1:13" s="88" customFormat="1" ht="16.5" customHeight="1">
      <c r="A307" s="89"/>
      <c r="B307" s="92" t="s">
        <v>1307</v>
      </c>
      <c r="C307" s="493" t="s">
        <v>1308</v>
      </c>
      <c r="D307" s="493"/>
      <c r="E307" s="493"/>
      <c r="F307" s="493"/>
      <c r="G307" s="493"/>
      <c r="H307" s="493"/>
      <c r="I307" s="493"/>
      <c r="J307" s="493"/>
      <c r="K307" s="493"/>
      <c r="L307" s="493"/>
      <c r="M307" s="493"/>
    </row>
    <row r="308" spans="1:13" s="88" customFormat="1" ht="24.75" customHeight="1">
      <c r="A308" s="89"/>
      <c r="B308" s="90" t="s">
        <v>1291</v>
      </c>
      <c r="C308" s="493" t="s">
        <v>1309</v>
      </c>
      <c r="D308" s="493"/>
      <c r="E308" s="493"/>
      <c r="F308" s="493"/>
      <c r="G308" s="493"/>
      <c r="H308" s="493"/>
      <c r="I308" s="493"/>
      <c r="J308" s="493"/>
      <c r="K308" s="493"/>
      <c r="L308" s="493"/>
      <c r="M308" s="493"/>
    </row>
    <row r="309" spans="1:13" s="88" customFormat="1" ht="16.5" customHeight="1">
      <c r="A309" s="89" t="s">
        <v>1228</v>
      </c>
      <c r="B309" s="493" t="s">
        <v>1293</v>
      </c>
      <c r="C309" s="493"/>
      <c r="D309" s="493"/>
      <c r="E309" s="493"/>
      <c r="F309" s="493"/>
      <c r="G309" s="493"/>
      <c r="H309" s="493"/>
      <c r="I309" s="493"/>
      <c r="J309" s="493"/>
      <c r="K309" s="493"/>
      <c r="L309" s="493"/>
      <c r="M309" s="493"/>
    </row>
    <row r="310" spans="1:13" ht="24.75" customHeight="1">
      <c r="A310" s="89" t="s">
        <v>1229</v>
      </c>
      <c r="B310" s="493" t="s">
        <v>1310</v>
      </c>
      <c r="C310" s="493"/>
      <c r="D310" s="493"/>
      <c r="E310" s="493"/>
      <c r="F310" s="493"/>
      <c r="G310" s="493"/>
      <c r="H310" s="493"/>
      <c r="I310" s="493"/>
      <c r="J310" s="493"/>
      <c r="K310" s="493"/>
      <c r="L310" s="493"/>
      <c r="M310" s="493"/>
    </row>
    <row r="311" spans="1:13" ht="21" customHeight="1">
      <c r="B311" s="494" t="s">
        <v>1231</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1311</v>
      </c>
    </row>
    <row r="314" spans="1:13" s="93" customFormat="1" ht="16.5" customHeight="1"/>
    <row r="315" spans="1:13" s="93" customFormat="1" ht="16.5" customHeight="1">
      <c r="B315" s="95" t="s">
        <v>1312</v>
      </c>
      <c r="C315" s="389">
        <v>40798</v>
      </c>
      <c r="D315" s="94"/>
      <c r="E315" s="94"/>
      <c r="F315" s="94"/>
    </row>
    <row r="316" spans="1:13" s="93" customFormat="1" ht="16.5" customHeight="1">
      <c r="B316" s="111" t="s">
        <v>1313</v>
      </c>
      <c r="C316" s="371">
        <v>40825</v>
      </c>
      <c r="D316" s="104" t="s">
        <v>1238</v>
      </c>
      <c r="E316" s="148"/>
    </row>
    <row r="317" spans="1:13" s="93" customFormat="1" ht="16.5" customHeight="1">
      <c r="B317" s="151" t="s">
        <v>1314</v>
      </c>
      <c r="C317" s="107">
        <f>NETWORKDAYS(C315,C316,D319:D321)</f>
        <v>17</v>
      </c>
      <c r="D317" s="108" t="s">
        <v>1315</v>
      </c>
      <c r="E317" s="323"/>
      <c r="F317" s="288"/>
    </row>
    <row r="318" spans="1:13" s="93" customFormat="1" ht="16.5" customHeight="1">
      <c r="C318" s="148"/>
      <c r="E318" s="148"/>
    </row>
    <row r="319" spans="1:13" s="93" customFormat="1" ht="16.5" customHeight="1">
      <c r="B319" s="482" t="s">
        <v>1300</v>
      </c>
      <c r="C319" s="393" t="s">
        <v>1301</v>
      </c>
      <c r="D319" s="394">
        <v>40819</v>
      </c>
    </row>
    <row r="320" spans="1:13" s="93" customFormat="1" ht="16.5" customHeight="1">
      <c r="B320" s="483"/>
      <c r="C320" s="381" t="s">
        <v>1301</v>
      </c>
      <c r="D320" s="371">
        <v>40820</v>
      </c>
    </row>
    <row r="321" spans="1:8" s="93" customFormat="1" ht="16.5" customHeight="1">
      <c r="B321" s="484"/>
      <c r="C321" s="383" t="s">
        <v>1301</v>
      </c>
      <c r="D321" s="384">
        <v>40821</v>
      </c>
    </row>
    <row r="322" spans="1:8" s="93" customFormat="1" ht="16.5" customHeight="1">
      <c r="A322" s="94"/>
      <c r="H322" s="4"/>
    </row>
    <row r="400" spans="1:6" s="88" customFormat="1" ht="26.25" customHeight="1">
      <c r="A400" s="498" t="s">
        <v>43</v>
      </c>
      <c r="B400" s="498"/>
      <c r="C400" s="499"/>
      <c r="D400" s="87"/>
      <c r="E400" s="500" t="str">
        <f>HYPERLINK("#目录!A29","跳转回到目录页")</f>
        <v>跳转回到目录页</v>
      </c>
      <c r="F400" s="501"/>
    </row>
    <row r="401" spans="1:13" s="88" customFormat="1" ht="26.25" customHeight="1">
      <c r="A401" s="502" t="s">
        <v>1216</v>
      </c>
      <c r="B401" s="502"/>
      <c r="C401" s="503" t="s">
        <v>44</v>
      </c>
      <c r="D401" s="503"/>
      <c r="E401" s="503"/>
      <c r="F401" s="503"/>
      <c r="G401" s="503"/>
      <c r="H401" s="503"/>
      <c r="I401" s="503"/>
      <c r="J401" s="503"/>
      <c r="K401" s="503"/>
      <c r="L401" s="503"/>
      <c r="M401" s="503"/>
    </row>
    <row r="402" spans="1:13" s="88" customFormat="1" ht="16.5" customHeight="1">
      <c r="A402" s="496" t="s">
        <v>1217</v>
      </c>
      <c r="B402" s="496"/>
      <c r="C402" s="493" t="s">
        <v>1316</v>
      </c>
      <c r="D402" s="493"/>
      <c r="E402" s="493"/>
      <c r="F402" s="493"/>
      <c r="G402" s="493"/>
      <c r="H402" s="493"/>
      <c r="I402" s="493"/>
      <c r="J402" s="493"/>
      <c r="K402" s="493"/>
      <c r="L402" s="493"/>
      <c r="M402" s="493"/>
    </row>
    <row r="403" spans="1:13" s="88" customFormat="1" ht="16.5" customHeight="1">
      <c r="A403" s="496" t="s">
        <v>5786</v>
      </c>
      <c r="B403" s="496"/>
      <c r="C403" s="497" t="s">
        <v>5970</v>
      </c>
      <c r="D403" s="497"/>
      <c r="E403" s="497"/>
      <c r="F403" s="497"/>
      <c r="G403" s="497"/>
      <c r="H403" s="497"/>
      <c r="I403" s="497"/>
      <c r="J403" s="497"/>
      <c r="K403" s="497"/>
      <c r="L403" s="497"/>
      <c r="M403" s="497"/>
    </row>
    <row r="404" spans="1:13" s="88" customFormat="1" ht="24.75" customHeight="1">
      <c r="A404" s="496" t="s">
        <v>1220</v>
      </c>
      <c r="B404" s="496"/>
      <c r="C404" s="493" t="s">
        <v>1317</v>
      </c>
      <c r="D404" s="493"/>
      <c r="E404" s="493"/>
      <c r="F404" s="493"/>
      <c r="G404" s="493"/>
      <c r="H404" s="493"/>
      <c r="I404" s="493"/>
      <c r="J404" s="493"/>
      <c r="K404" s="493"/>
      <c r="L404" s="493"/>
      <c r="M404" s="493"/>
    </row>
    <row r="405" spans="1:13" s="88" customFormat="1" ht="16.5" customHeight="1">
      <c r="A405" s="496" t="s">
        <v>5785</v>
      </c>
      <c r="B405" s="496"/>
      <c r="C405" s="493" t="s">
        <v>1318</v>
      </c>
      <c r="D405" s="493"/>
      <c r="E405" s="493"/>
      <c r="F405" s="493"/>
      <c r="G405" s="493"/>
      <c r="H405" s="493"/>
      <c r="I405" s="493"/>
      <c r="J405" s="493"/>
      <c r="K405" s="493"/>
      <c r="L405" s="493"/>
      <c r="M405" s="493"/>
    </row>
    <row r="406" spans="1:13" s="88" customFormat="1" ht="16.5" customHeight="1">
      <c r="A406" s="89" t="s">
        <v>1223</v>
      </c>
      <c r="B406" s="92" t="s">
        <v>1224</v>
      </c>
      <c r="C406" s="493" t="s">
        <v>1306</v>
      </c>
      <c r="D406" s="493"/>
      <c r="E406" s="493"/>
      <c r="F406" s="493"/>
      <c r="G406" s="493"/>
      <c r="H406" s="493"/>
      <c r="I406" s="493"/>
      <c r="J406" s="493"/>
      <c r="K406" s="493"/>
      <c r="L406" s="493"/>
      <c r="M406" s="493"/>
    </row>
    <row r="407" spans="1:13" s="88" customFormat="1" ht="16.5" customHeight="1">
      <c r="A407" s="89"/>
      <c r="B407" s="90" t="s">
        <v>1307</v>
      </c>
      <c r="C407" s="493" t="s">
        <v>1308</v>
      </c>
      <c r="D407" s="493"/>
      <c r="E407" s="493"/>
      <c r="F407" s="493"/>
      <c r="G407" s="493"/>
      <c r="H407" s="493"/>
      <c r="I407" s="493"/>
      <c r="J407" s="493"/>
      <c r="K407" s="493"/>
      <c r="L407" s="493"/>
      <c r="M407" s="493"/>
    </row>
    <row r="408" spans="1:13" s="88" customFormat="1" ht="38.25" customHeight="1">
      <c r="A408" s="89"/>
      <c r="B408" s="92" t="s">
        <v>5971</v>
      </c>
      <c r="C408" s="493" t="s">
        <v>1319</v>
      </c>
      <c r="D408" s="493"/>
      <c r="E408" s="493"/>
      <c r="F408" s="493"/>
      <c r="G408" s="493"/>
      <c r="H408" s="493"/>
      <c r="I408" s="493"/>
      <c r="J408" s="493"/>
      <c r="K408" s="493"/>
      <c r="L408" s="493"/>
      <c r="M408" s="493"/>
    </row>
    <row r="409" spans="1:13" s="88" customFormat="1" ht="16.5" customHeight="1">
      <c r="A409" s="89" t="s">
        <v>1228</v>
      </c>
      <c r="B409" s="493" t="s">
        <v>1320</v>
      </c>
      <c r="C409" s="493"/>
      <c r="D409" s="493"/>
      <c r="E409" s="493"/>
      <c r="F409" s="493"/>
      <c r="G409" s="493"/>
      <c r="H409" s="493"/>
      <c r="I409" s="493"/>
      <c r="J409" s="493"/>
      <c r="K409" s="493"/>
      <c r="L409" s="493"/>
      <c r="M409" s="493"/>
    </row>
    <row r="410" spans="1:13" ht="24.75" customHeight="1">
      <c r="A410" s="89" t="s">
        <v>1229</v>
      </c>
      <c r="B410" s="493" t="s">
        <v>1321</v>
      </c>
      <c r="C410" s="493"/>
      <c r="D410" s="493"/>
      <c r="E410" s="493"/>
      <c r="F410" s="493"/>
      <c r="G410" s="493"/>
      <c r="H410" s="493"/>
      <c r="I410" s="493"/>
      <c r="J410" s="493"/>
      <c r="K410" s="493"/>
      <c r="L410" s="493"/>
      <c r="M410" s="493"/>
    </row>
    <row r="411" spans="1:13" ht="21" customHeight="1">
      <c r="B411" s="494" t="s">
        <v>1231</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1322</v>
      </c>
    </row>
    <row r="414" spans="1:13" s="93" customFormat="1" ht="16.5" customHeight="1"/>
    <row r="415" spans="1:13" s="93" customFormat="1" ht="16.5" customHeight="1">
      <c r="B415" s="95" t="s">
        <v>1246</v>
      </c>
      <c r="C415" s="96" t="s">
        <v>1323</v>
      </c>
      <c r="D415" s="96" t="s">
        <v>1324</v>
      </c>
      <c r="E415" s="96" t="s">
        <v>1325</v>
      </c>
      <c r="F415" s="224" t="s">
        <v>1326</v>
      </c>
      <c r="G415" s="397" t="s">
        <v>1327</v>
      </c>
      <c r="I415" s="104" t="s">
        <v>1238</v>
      </c>
    </row>
    <row r="416" spans="1:13" s="93" customFormat="1" ht="16.5" customHeight="1">
      <c r="B416" s="111" t="s">
        <v>1250</v>
      </c>
      <c r="C416" s="335">
        <v>33660</v>
      </c>
      <c r="D416" s="358">
        <v>40826</v>
      </c>
      <c r="E416" s="100">
        <f>DATEDIF(C416,D416,"Y")</f>
        <v>19</v>
      </c>
      <c r="F416" s="110">
        <f>DATEDIF(C416,D416,"YM")</f>
        <v>7</v>
      </c>
      <c r="G416" s="101">
        <f>DATEDIF(C416,D416,"MD")</f>
        <v>14</v>
      </c>
      <c r="H416" s="288" t="s">
        <v>1325</v>
      </c>
      <c r="I416" s="108" t="s">
        <v>5972</v>
      </c>
    </row>
    <row r="417" spans="2:9" s="93" customFormat="1" ht="16.5" customHeight="1">
      <c r="B417" s="111" t="s">
        <v>1252</v>
      </c>
      <c r="C417" s="335">
        <v>34196</v>
      </c>
      <c r="D417" s="358">
        <v>40826</v>
      </c>
      <c r="E417" s="100">
        <f>DATEDIF(C417,D417,"Y")</f>
        <v>18</v>
      </c>
      <c r="F417" s="110">
        <f>DATEDIF(C417,D417,"YM")</f>
        <v>1</v>
      </c>
      <c r="G417" s="101">
        <f>DATEDIF(C417,D417,"MD")</f>
        <v>25</v>
      </c>
      <c r="H417" s="288" t="s">
        <v>1326</v>
      </c>
      <c r="I417" s="108" t="s">
        <v>5973</v>
      </c>
    </row>
    <row r="418" spans="2:9" s="93" customFormat="1" ht="16.5" customHeight="1">
      <c r="B418" s="151" t="s">
        <v>1253</v>
      </c>
      <c r="C418" s="326">
        <v>34760</v>
      </c>
      <c r="D418" s="364">
        <v>40826</v>
      </c>
      <c r="E418" s="106">
        <f>DATEDIF(C418,D418,"Y")</f>
        <v>16</v>
      </c>
      <c r="F418" s="113">
        <f>DATEDIF(C418,D418,"YM")</f>
        <v>7</v>
      </c>
      <c r="G418" s="107">
        <f>DATEDIF(C418,D418,"MD")</f>
        <v>8</v>
      </c>
      <c r="H418" s="288" t="s">
        <v>1327</v>
      </c>
      <c r="I418" s="108" t="s">
        <v>5974</v>
      </c>
    </row>
    <row r="419" spans="2:9" s="93" customFormat="1" ht="16.5" customHeight="1"/>
    <row r="420" spans="2:9" s="93" customFormat="1" ht="16.5" customHeight="1"/>
    <row r="421" spans="2:9" s="93" customFormat="1" ht="16.5" customHeight="1"/>
    <row r="422" spans="2:9" s="93" customFormat="1" ht="16.5" customHeight="1"/>
    <row r="423" spans="2:9" s="93" customFormat="1" ht="16.5" customHeight="1"/>
    <row r="424" spans="2:9" s="93" customFormat="1" ht="16.5" customHeight="1"/>
    <row r="425" spans="2:9" s="93" customFormat="1" ht="16.5" customHeight="1"/>
    <row r="426" spans="2:9" s="93" customFormat="1" ht="16.5" customHeight="1"/>
    <row r="427" spans="2:9" s="93" customFormat="1" ht="16.5" customHeight="1"/>
    <row r="428" spans="2:9" s="93" customFormat="1" ht="16.5" customHeight="1"/>
    <row r="429" spans="2:9" s="93" customFormat="1" ht="16.5" customHeight="1"/>
    <row r="430" spans="2:9" s="93" customFormat="1" ht="16.5" customHeight="1"/>
    <row r="431" spans="2:9" s="93" customFormat="1" ht="16.5" customHeight="1"/>
    <row r="432" spans="2:9" s="93" customFormat="1" ht="16.5" customHeight="1"/>
    <row r="433" s="93" customFormat="1" ht="16.5" customHeight="1"/>
    <row r="434" s="93" customFormat="1" ht="16.5" customHeight="1"/>
    <row r="435" s="93" customFormat="1" ht="16.5" customHeight="1"/>
    <row r="436" s="93" customFormat="1" ht="16.5" customHeight="1"/>
    <row r="437" s="93" customFormat="1" ht="16.5" customHeight="1"/>
    <row r="438" s="93" customFormat="1" ht="16.5" customHeight="1"/>
    <row r="439" s="93" customFormat="1" ht="16.5" customHeight="1"/>
    <row r="440" s="93" customFormat="1" ht="16.5" customHeight="1"/>
    <row r="441" s="93" customFormat="1" ht="16.5" customHeight="1"/>
    <row r="442" s="93" customFormat="1" ht="16.5" customHeight="1"/>
    <row r="443" s="93" customFormat="1" ht="16.5" customHeight="1"/>
    <row r="444" s="93" customFormat="1" ht="16.5" customHeight="1"/>
    <row r="445" s="93" customFormat="1" ht="16.5" customHeight="1"/>
    <row r="446" s="93" customFormat="1" ht="16.5" customHeight="1"/>
    <row r="447" s="93" customFormat="1" ht="16.5" customHeight="1"/>
    <row r="448" s="93" customFormat="1" ht="16.5" customHeight="1"/>
    <row r="449" s="93" customFormat="1" ht="16.5" customHeight="1"/>
    <row r="500" spans="1:13" s="88" customFormat="1" ht="26.25" customHeight="1">
      <c r="A500" s="498" t="s">
        <v>45</v>
      </c>
      <c r="B500" s="498"/>
      <c r="C500" s="499"/>
      <c r="D500" s="87"/>
      <c r="E500" s="500" t="str">
        <f>HYPERLINK("#目录!A30","跳转回到目录页")</f>
        <v>跳转回到目录页</v>
      </c>
      <c r="F500" s="501"/>
    </row>
    <row r="501" spans="1:13" s="88" customFormat="1" ht="26.25" customHeight="1">
      <c r="A501" s="502" t="s">
        <v>1216</v>
      </c>
      <c r="B501" s="502"/>
      <c r="C501" s="503" t="s">
        <v>1328</v>
      </c>
      <c r="D501" s="503"/>
      <c r="E501" s="503"/>
      <c r="F501" s="503"/>
      <c r="G501" s="503"/>
      <c r="H501" s="503"/>
      <c r="I501" s="503"/>
      <c r="J501" s="503"/>
      <c r="K501" s="503"/>
      <c r="L501" s="503"/>
      <c r="M501" s="503"/>
    </row>
    <row r="502" spans="1:13" s="88" customFormat="1" ht="16.5" customHeight="1">
      <c r="A502" s="496" t="s">
        <v>1217</v>
      </c>
      <c r="B502" s="496"/>
      <c r="C502" s="493" t="s">
        <v>1329</v>
      </c>
      <c r="D502" s="493"/>
      <c r="E502" s="493"/>
      <c r="F502" s="493"/>
      <c r="G502" s="493"/>
      <c r="H502" s="493"/>
      <c r="I502" s="493"/>
      <c r="J502" s="493"/>
      <c r="K502" s="493"/>
      <c r="L502" s="493"/>
      <c r="M502" s="493"/>
    </row>
    <row r="503" spans="1:13" s="88" customFormat="1" ht="16.5" customHeight="1">
      <c r="A503" s="496" t="s">
        <v>5786</v>
      </c>
      <c r="B503" s="496"/>
      <c r="C503" s="497" t="s">
        <v>1330</v>
      </c>
      <c r="D503" s="497"/>
      <c r="E503" s="497"/>
      <c r="F503" s="497"/>
      <c r="G503" s="497"/>
      <c r="H503" s="497"/>
      <c r="I503" s="497"/>
      <c r="J503" s="497"/>
      <c r="K503" s="497"/>
      <c r="L503" s="497"/>
      <c r="M503" s="497"/>
    </row>
    <row r="504" spans="1:13" s="88" customFormat="1" ht="16.5" customHeight="1">
      <c r="A504" s="496" t="s">
        <v>1220</v>
      </c>
      <c r="B504" s="496"/>
      <c r="C504" s="493" t="s">
        <v>1331</v>
      </c>
      <c r="D504" s="493"/>
      <c r="E504" s="493"/>
      <c r="F504" s="493"/>
      <c r="G504" s="493"/>
      <c r="H504" s="493"/>
      <c r="I504" s="493"/>
      <c r="J504" s="493"/>
      <c r="K504" s="493"/>
      <c r="L504" s="493"/>
      <c r="M504" s="493"/>
    </row>
    <row r="505" spans="1:13" s="88" customFormat="1" ht="16.5" customHeight="1">
      <c r="A505" s="496" t="s">
        <v>5785</v>
      </c>
      <c r="B505" s="496"/>
      <c r="C505" s="493" t="s">
        <v>1332</v>
      </c>
      <c r="D505" s="493"/>
      <c r="E505" s="493"/>
      <c r="F505" s="493"/>
      <c r="G505" s="493"/>
      <c r="H505" s="493"/>
      <c r="I505" s="493"/>
      <c r="J505" s="493"/>
      <c r="K505" s="493"/>
      <c r="L505" s="493"/>
      <c r="M505" s="493"/>
    </row>
    <row r="506" spans="1:13" s="88" customFormat="1" ht="16.5" customHeight="1">
      <c r="A506" s="89" t="s">
        <v>1223</v>
      </c>
      <c r="B506" s="92" t="s">
        <v>1224</v>
      </c>
      <c r="C506" s="493" t="s">
        <v>1306</v>
      </c>
      <c r="D506" s="493"/>
      <c r="E506" s="493"/>
      <c r="F506" s="493"/>
      <c r="G506" s="493"/>
      <c r="H506" s="493"/>
      <c r="I506" s="493"/>
      <c r="J506" s="493"/>
      <c r="K506" s="493"/>
      <c r="L506" s="493"/>
      <c r="M506" s="493"/>
    </row>
    <row r="507" spans="1:13" s="88" customFormat="1" ht="16.5" customHeight="1">
      <c r="A507" s="89"/>
      <c r="B507" s="90" t="s">
        <v>1307</v>
      </c>
      <c r="C507" s="493" t="s">
        <v>1308</v>
      </c>
      <c r="D507" s="493"/>
      <c r="E507" s="493"/>
      <c r="F507" s="493"/>
      <c r="G507" s="493"/>
      <c r="H507" s="493"/>
      <c r="I507" s="493"/>
      <c r="J507" s="493"/>
      <c r="K507" s="493"/>
      <c r="L507" s="493"/>
      <c r="M507" s="493"/>
    </row>
    <row r="508" spans="1:13" s="88" customFormat="1" ht="16.5" customHeight="1">
      <c r="A508" s="89"/>
      <c r="B508" s="90" t="s">
        <v>1333</v>
      </c>
      <c r="C508" s="493" t="s">
        <v>1334</v>
      </c>
      <c r="D508" s="493"/>
      <c r="E508" s="493"/>
      <c r="F508" s="493"/>
      <c r="G508" s="493"/>
      <c r="H508" s="493"/>
      <c r="I508" s="493"/>
      <c r="J508" s="493"/>
      <c r="K508" s="493"/>
      <c r="L508" s="493"/>
      <c r="M508" s="493"/>
    </row>
    <row r="509" spans="1:13" s="88" customFormat="1" ht="16.5" customHeight="1">
      <c r="A509" s="89" t="s">
        <v>1228</v>
      </c>
      <c r="B509" s="493" t="s">
        <v>1335</v>
      </c>
      <c r="C509" s="493"/>
      <c r="D509" s="493"/>
      <c r="E509" s="493"/>
      <c r="F509" s="493"/>
      <c r="G509" s="493"/>
      <c r="H509" s="493"/>
      <c r="I509" s="493"/>
      <c r="J509" s="493"/>
      <c r="K509" s="493"/>
      <c r="L509" s="493"/>
      <c r="M509" s="493"/>
    </row>
    <row r="510" spans="1:13" ht="24.75" customHeight="1">
      <c r="A510" s="89" t="s">
        <v>1229</v>
      </c>
      <c r="B510" s="493" t="s">
        <v>1336</v>
      </c>
      <c r="C510" s="493"/>
      <c r="D510" s="493"/>
      <c r="E510" s="493"/>
      <c r="F510" s="493"/>
      <c r="G510" s="493"/>
      <c r="H510" s="493"/>
      <c r="I510" s="493"/>
      <c r="J510" s="493"/>
      <c r="K510" s="493"/>
      <c r="L510" s="493"/>
      <c r="M510" s="493"/>
    </row>
    <row r="511" spans="1:13" ht="21" customHeight="1">
      <c r="B511" s="494" t="s">
        <v>1231</v>
      </c>
      <c r="C511" s="494"/>
      <c r="D511" s="494"/>
      <c r="E511" s="494"/>
      <c r="F511" s="494"/>
      <c r="G511" s="494"/>
      <c r="H511" s="494"/>
      <c r="I511" s="494"/>
      <c r="J511" s="494"/>
      <c r="K511" s="494"/>
      <c r="L511" s="495"/>
    </row>
    <row r="512" spans="1:13" s="93" customFormat="1" ht="16.5" customHeight="1"/>
    <row r="513" spans="1:12" s="93" customFormat="1" ht="16.5" customHeight="1">
      <c r="A513" s="94" t="s">
        <v>1232</v>
      </c>
      <c r="B513" s="93" t="s">
        <v>1337</v>
      </c>
    </row>
    <row r="514" spans="1:12" s="93" customFormat="1" ht="16.5" customHeight="1"/>
    <row r="515" spans="1:12" s="93" customFormat="1" ht="16.5" customHeight="1">
      <c r="B515" s="95" t="s">
        <v>1312</v>
      </c>
      <c r="C515" s="389">
        <v>40603</v>
      </c>
      <c r="E515" s="94"/>
      <c r="F515" s="94"/>
    </row>
    <row r="516" spans="1:12" s="93" customFormat="1" ht="16.5" customHeight="1">
      <c r="B516" s="111" t="s">
        <v>1313</v>
      </c>
      <c r="C516" s="371">
        <v>40633</v>
      </c>
      <c r="D516" s="104" t="s">
        <v>1238</v>
      </c>
      <c r="E516" s="148"/>
    </row>
    <row r="517" spans="1:12" s="93" customFormat="1" ht="16.5" customHeight="1">
      <c r="B517" s="151" t="s">
        <v>1338</v>
      </c>
      <c r="C517" s="107">
        <f>DAYS360(C515,C516,FALSE)</f>
        <v>30</v>
      </c>
      <c r="D517" s="108" t="s">
        <v>1339</v>
      </c>
      <c r="E517" s="323"/>
      <c r="F517" s="288"/>
    </row>
    <row r="518" spans="1:12" s="93" customFormat="1" ht="16.5" customHeight="1">
      <c r="C518" s="148"/>
      <c r="E518" s="148"/>
    </row>
    <row r="519" spans="1:12" s="93" customFormat="1" ht="16.5" customHeight="1">
      <c r="B519" s="93" t="s">
        <v>1340</v>
      </c>
    </row>
    <row r="520" spans="1:12" s="93" customFormat="1" ht="16.5" customHeight="1">
      <c r="B520" s="482" t="s">
        <v>1341</v>
      </c>
      <c r="C520" s="504"/>
      <c r="D520" s="504"/>
      <c r="E520" s="504"/>
      <c r="F520" s="505"/>
      <c r="H520" s="480" t="s">
        <v>1342</v>
      </c>
      <c r="I520" s="506"/>
      <c r="J520" s="506"/>
      <c r="K520" s="506"/>
      <c r="L520" s="481"/>
    </row>
    <row r="521" spans="1:12" s="93" customFormat="1" ht="16.5" customHeight="1">
      <c r="B521" s="483" t="s">
        <v>1312</v>
      </c>
      <c r="C521" s="398">
        <v>40602</v>
      </c>
      <c r="D521" s="485" t="s">
        <v>1343</v>
      </c>
      <c r="E521" s="488" t="s">
        <v>1312</v>
      </c>
      <c r="F521" s="490" t="s">
        <v>1344</v>
      </c>
      <c r="H521" s="111" t="s">
        <v>1312</v>
      </c>
      <c r="I521" s="100" t="s">
        <v>1345</v>
      </c>
      <c r="J521" s="507" t="s">
        <v>1343</v>
      </c>
      <c r="K521" s="100" t="s">
        <v>1312</v>
      </c>
      <c r="L521" s="112" t="s">
        <v>1344</v>
      </c>
    </row>
    <row r="522" spans="1:12" s="93" customFormat="1" ht="16.5" customHeight="1">
      <c r="A522" s="94"/>
      <c r="B522" s="483"/>
      <c r="C522" s="100" t="s">
        <v>1346</v>
      </c>
      <c r="D522" s="486"/>
      <c r="E522" s="488"/>
      <c r="F522" s="491"/>
      <c r="H522" s="151" t="s">
        <v>1313</v>
      </c>
      <c r="I522" s="106" t="s">
        <v>1345</v>
      </c>
      <c r="J522" s="508"/>
      <c r="K522" s="106" t="s">
        <v>1313</v>
      </c>
      <c r="L522" s="150" t="s">
        <v>1344</v>
      </c>
    </row>
    <row r="523" spans="1:12" s="93" customFormat="1" ht="16.5" customHeight="1">
      <c r="B523" s="484"/>
      <c r="C523" s="106" t="s">
        <v>1345</v>
      </c>
      <c r="D523" s="487"/>
      <c r="E523" s="489"/>
      <c r="F523" s="492"/>
    </row>
    <row r="524" spans="1:12" s="93" customFormat="1" ht="16.5" customHeight="1">
      <c r="B524" s="94"/>
      <c r="C524" s="311"/>
      <c r="D524" s="311"/>
      <c r="E524" s="311"/>
      <c r="F524" s="94"/>
    </row>
    <row r="525" spans="1:12" s="93" customFormat="1" ht="16.5" customHeight="1">
      <c r="B525" s="94"/>
      <c r="C525" s="311"/>
      <c r="D525" s="311"/>
      <c r="E525" s="311"/>
      <c r="F525" s="94"/>
    </row>
    <row r="526" spans="1:12" s="93" customFormat="1" ht="16.5" customHeight="1">
      <c r="B526" s="94"/>
      <c r="C526" s="311"/>
      <c r="D526" s="311"/>
      <c r="E526" s="311"/>
      <c r="F526" s="94"/>
    </row>
    <row r="527" spans="1:12" s="93" customFormat="1" ht="16.5" customHeight="1">
      <c r="B527" s="94"/>
      <c r="C527" s="311"/>
      <c r="D527" s="311"/>
      <c r="E527" s="311"/>
      <c r="F527" s="94"/>
    </row>
    <row r="528" spans="1:12" s="93" customFormat="1" ht="16.5" customHeight="1">
      <c r="B528" s="94"/>
      <c r="C528" s="311"/>
      <c r="D528" s="311"/>
      <c r="E528" s="311"/>
      <c r="F528" s="94"/>
    </row>
    <row r="529" spans="2:6" s="93" customFormat="1" ht="16.5" customHeight="1">
      <c r="B529" s="94"/>
      <c r="C529" s="311"/>
      <c r="D529" s="311"/>
      <c r="E529" s="311"/>
      <c r="F529" s="94"/>
    </row>
    <row r="530" spans="2:6" s="93" customFormat="1" ht="16.5" customHeight="1">
      <c r="B530" s="94"/>
      <c r="C530" s="311"/>
      <c r="D530" s="311"/>
      <c r="E530" s="311"/>
      <c r="F530" s="94"/>
    </row>
    <row r="531" spans="2:6" s="93" customFormat="1" ht="16.5" customHeight="1">
      <c r="B531" s="94"/>
      <c r="C531" s="311"/>
      <c r="D531" s="311"/>
      <c r="E531" s="311"/>
      <c r="F531" s="94"/>
    </row>
    <row r="532" spans="2:6" s="93" customFormat="1" ht="16.5" customHeight="1">
      <c r="B532" s="94"/>
      <c r="C532" s="311"/>
      <c r="D532" s="311"/>
      <c r="E532" s="311"/>
      <c r="F532" s="94"/>
    </row>
    <row r="533" spans="2:6" s="93" customFormat="1" ht="16.5" customHeight="1">
      <c r="B533" s="94"/>
      <c r="C533" s="311"/>
      <c r="D533" s="311"/>
      <c r="E533" s="311"/>
      <c r="F533" s="94"/>
    </row>
    <row r="534" spans="2:6" s="93" customFormat="1" ht="16.5" customHeight="1">
      <c r="B534" s="94"/>
      <c r="C534" s="311"/>
      <c r="D534" s="311"/>
      <c r="E534" s="311"/>
      <c r="F534" s="94"/>
    </row>
    <row r="535" spans="2:6" s="93" customFormat="1" ht="16.5" customHeight="1">
      <c r="B535" s="94"/>
      <c r="C535" s="311"/>
      <c r="D535" s="311"/>
      <c r="E535" s="311"/>
      <c r="F535" s="94"/>
    </row>
    <row r="536" spans="2:6" s="93" customFormat="1" ht="16.5" customHeight="1">
      <c r="B536" s="94"/>
      <c r="C536" s="311"/>
      <c r="D536" s="311"/>
      <c r="E536" s="311"/>
      <c r="F536" s="94"/>
    </row>
    <row r="537" spans="2:6" s="93" customFormat="1" ht="16.5" customHeight="1">
      <c r="B537" s="94"/>
      <c r="C537" s="311"/>
      <c r="D537" s="311"/>
      <c r="E537" s="311"/>
      <c r="F537" s="94"/>
    </row>
    <row r="538" spans="2:6" s="93" customFormat="1" ht="16.5" customHeight="1">
      <c r="B538" s="94"/>
      <c r="C538" s="311"/>
      <c r="D538" s="311"/>
      <c r="E538" s="311"/>
      <c r="F538" s="94"/>
    </row>
    <row r="539" spans="2:6" s="93" customFormat="1" ht="16.5" customHeight="1">
      <c r="B539" s="94"/>
      <c r="C539" s="311"/>
      <c r="D539" s="311"/>
      <c r="E539" s="311"/>
      <c r="F539" s="94"/>
    </row>
    <row r="540" spans="2:6" s="93" customFormat="1" ht="16.5" customHeight="1">
      <c r="B540" s="94"/>
      <c r="C540" s="311"/>
      <c r="D540" s="311"/>
      <c r="E540" s="311"/>
      <c r="F540" s="94"/>
    </row>
    <row r="541" spans="2:6" s="93" customFormat="1" ht="16.5" customHeight="1">
      <c r="B541" s="94"/>
      <c r="C541" s="311"/>
      <c r="D541" s="311"/>
      <c r="E541" s="311"/>
      <c r="F541" s="94"/>
    </row>
    <row r="542" spans="2:6" s="93" customFormat="1" ht="16.5" customHeight="1">
      <c r="B542" s="94"/>
      <c r="C542" s="311"/>
      <c r="D542" s="311"/>
      <c r="E542" s="311"/>
      <c r="F542" s="94"/>
    </row>
    <row r="543" spans="2:6" s="93" customFormat="1" ht="16.5" customHeight="1">
      <c r="B543" s="94"/>
      <c r="C543" s="311"/>
      <c r="D543" s="311"/>
      <c r="E543" s="311"/>
      <c r="F543" s="94"/>
    </row>
    <row r="544" spans="2:6" s="93" customFormat="1" ht="16.5" customHeight="1">
      <c r="B544" s="94"/>
      <c r="C544" s="311"/>
      <c r="D544" s="311"/>
      <c r="E544" s="311"/>
      <c r="F544" s="94"/>
    </row>
    <row r="545" spans="2:6" s="93" customFormat="1" ht="16.5" customHeight="1">
      <c r="B545" s="94"/>
      <c r="C545" s="311"/>
      <c r="D545" s="311"/>
      <c r="E545" s="311"/>
      <c r="F545" s="94"/>
    </row>
    <row r="546" spans="2:6" s="93" customFormat="1" ht="16.5" customHeight="1">
      <c r="B546" s="94"/>
      <c r="C546" s="311"/>
      <c r="D546" s="311"/>
      <c r="E546" s="311"/>
      <c r="F546" s="94"/>
    </row>
    <row r="547" spans="2:6" s="93" customFormat="1" ht="16.5" customHeight="1">
      <c r="B547" s="94"/>
      <c r="C547" s="311"/>
      <c r="D547" s="311"/>
      <c r="E547" s="311"/>
      <c r="F547" s="94"/>
    </row>
    <row r="548" spans="2:6" s="93" customFormat="1" ht="16.5" customHeight="1">
      <c r="B548" s="94"/>
      <c r="C548" s="311"/>
      <c r="D548" s="311"/>
      <c r="E548" s="311"/>
      <c r="F548" s="94"/>
    </row>
    <row r="549" spans="2:6" s="93" customFormat="1" ht="16.5" customHeight="1">
      <c r="B549" s="94"/>
      <c r="C549" s="311"/>
      <c r="D549" s="311"/>
      <c r="E549" s="311"/>
      <c r="F549" s="94"/>
    </row>
    <row r="550" spans="2:6" s="93" customFormat="1" ht="16.5" customHeight="1">
      <c r="B550" s="94"/>
      <c r="C550" s="311"/>
      <c r="D550" s="311"/>
      <c r="E550" s="311"/>
      <c r="F550" s="94"/>
    </row>
    <row r="551" spans="2:6" s="93" customFormat="1" ht="16.5" customHeight="1">
      <c r="B551" s="94"/>
      <c r="C551" s="311"/>
      <c r="D551" s="311"/>
      <c r="E551" s="311"/>
      <c r="F551" s="94"/>
    </row>
    <row r="552" spans="2:6" s="93" customFormat="1" ht="16.5" customHeight="1">
      <c r="B552" s="94"/>
      <c r="C552" s="311"/>
      <c r="D552" s="311"/>
      <c r="E552" s="311"/>
      <c r="F552" s="94"/>
    </row>
    <row r="553" spans="2:6" s="93" customFormat="1" ht="16.5" customHeight="1">
      <c r="B553" s="94"/>
      <c r="C553" s="311"/>
      <c r="D553" s="311"/>
      <c r="E553" s="311"/>
      <c r="F553" s="94"/>
    </row>
    <row r="554" spans="2:6" s="93" customFormat="1" ht="16.5" customHeight="1">
      <c r="B554" s="94"/>
      <c r="C554" s="311"/>
      <c r="D554" s="311"/>
      <c r="E554" s="311"/>
      <c r="F554" s="94"/>
    </row>
    <row r="555" spans="2:6" s="93" customFormat="1" ht="16.5" customHeight="1">
      <c r="B555" s="94"/>
      <c r="C555" s="311"/>
      <c r="D555" s="311"/>
      <c r="E555" s="311"/>
      <c r="F555" s="94"/>
    </row>
    <row r="556" spans="2:6" s="93" customFormat="1" ht="16.5" customHeight="1">
      <c r="B556" s="94"/>
      <c r="C556" s="311"/>
      <c r="D556" s="311"/>
      <c r="E556" s="311"/>
      <c r="F556" s="94"/>
    </row>
    <row r="557" spans="2:6" s="93" customFormat="1" ht="16.5" customHeight="1">
      <c r="B557" s="94"/>
      <c r="C557" s="311"/>
      <c r="D557" s="311"/>
      <c r="E557" s="311"/>
      <c r="F557" s="94"/>
    </row>
    <row r="558" spans="2:6" s="93" customFormat="1" ht="16.5" customHeight="1">
      <c r="B558" s="94"/>
      <c r="C558" s="311"/>
      <c r="D558" s="311"/>
      <c r="E558" s="311"/>
      <c r="F558" s="94"/>
    </row>
    <row r="559" spans="2:6" s="93" customFormat="1" ht="16.5" customHeight="1">
      <c r="B559" s="94"/>
      <c r="C559" s="311"/>
      <c r="D559" s="311"/>
      <c r="E559" s="311"/>
      <c r="F559" s="94"/>
    </row>
    <row r="560" spans="2:6" s="93" customFormat="1" ht="16.5" customHeight="1">
      <c r="B560" s="94"/>
      <c r="C560" s="311"/>
      <c r="D560" s="311"/>
      <c r="E560" s="311"/>
      <c r="F560" s="94"/>
    </row>
    <row r="561" spans="2:6" s="93" customFormat="1" ht="16.5" customHeight="1">
      <c r="B561" s="94"/>
      <c r="C561" s="311"/>
      <c r="D561" s="311"/>
      <c r="E561" s="311"/>
      <c r="F561" s="94"/>
    </row>
    <row r="562" spans="2:6" s="93" customFormat="1" ht="16.5" customHeight="1">
      <c r="B562" s="94"/>
      <c r="C562" s="311"/>
      <c r="D562" s="311"/>
      <c r="E562" s="311"/>
      <c r="F562" s="94"/>
    </row>
    <row r="563" spans="2:6" s="93" customFormat="1" ht="16.5" customHeight="1">
      <c r="B563" s="94"/>
      <c r="C563" s="311"/>
      <c r="D563" s="311"/>
      <c r="E563" s="311"/>
      <c r="F563" s="94"/>
    </row>
    <row r="564" spans="2:6" s="93" customFormat="1" ht="16.5" customHeight="1">
      <c r="B564" s="94"/>
      <c r="C564" s="311"/>
      <c r="D564" s="311"/>
      <c r="E564" s="311"/>
      <c r="F564" s="94"/>
    </row>
    <row r="565" spans="2:6" s="93" customFormat="1" ht="16.5" customHeight="1">
      <c r="B565" s="94"/>
      <c r="C565" s="311"/>
      <c r="D565" s="311"/>
      <c r="E565" s="311"/>
      <c r="F565" s="94"/>
    </row>
    <row r="566" spans="2:6" s="93" customFormat="1" ht="16.5" customHeight="1">
      <c r="B566" s="94"/>
      <c r="C566" s="311"/>
      <c r="D566" s="311"/>
      <c r="E566" s="311"/>
      <c r="F566" s="94"/>
    </row>
    <row r="567" spans="2:6" s="93" customFormat="1" ht="16.5" customHeight="1">
      <c r="B567" s="94"/>
      <c r="C567" s="311"/>
      <c r="D567" s="311"/>
      <c r="E567" s="311"/>
      <c r="F567" s="94"/>
    </row>
    <row r="568" spans="2:6" s="93" customFormat="1" ht="16.5" customHeight="1">
      <c r="B568" s="94"/>
      <c r="C568" s="311"/>
      <c r="D568" s="311"/>
      <c r="E568" s="311"/>
      <c r="F568" s="94"/>
    </row>
    <row r="569" spans="2:6" s="93" customFormat="1" ht="16.5" customHeight="1">
      <c r="B569" s="94"/>
      <c r="C569" s="311"/>
      <c r="D569" s="311"/>
      <c r="E569" s="311"/>
      <c r="F569" s="94"/>
    </row>
    <row r="570" spans="2:6" s="93" customFormat="1" ht="16.5" customHeight="1">
      <c r="B570" s="94"/>
      <c r="C570" s="311"/>
      <c r="D570" s="311"/>
      <c r="E570" s="311"/>
      <c r="F570" s="94"/>
    </row>
    <row r="571" spans="2:6" s="93" customFormat="1" ht="16.5" customHeight="1">
      <c r="B571" s="94"/>
      <c r="C571" s="311"/>
      <c r="D571" s="311"/>
      <c r="E571" s="311"/>
      <c r="F571" s="94"/>
    </row>
    <row r="572" spans="2:6" s="93" customFormat="1" ht="16.5" customHeight="1">
      <c r="B572" s="94"/>
      <c r="C572" s="311"/>
      <c r="D572" s="311"/>
      <c r="E572" s="311"/>
      <c r="F572" s="94"/>
    </row>
    <row r="573" spans="2:6" s="93" customFormat="1" ht="16.5" customHeight="1">
      <c r="B573" s="94"/>
      <c r="C573" s="311"/>
      <c r="D573" s="311"/>
      <c r="E573" s="311"/>
      <c r="F573" s="94"/>
    </row>
    <row r="574" spans="2:6" s="93" customFormat="1" ht="16.5" customHeight="1">
      <c r="B574" s="94"/>
      <c r="C574" s="311"/>
      <c r="D574" s="311"/>
      <c r="E574" s="311"/>
      <c r="F574" s="94"/>
    </row>
    <row r="600" spans="1:13" s="88" customFormat="1" ht="26.25" customHeight="1">
      <c r="A600" s="498" t="s">
        <v>49</v>
      </c>
      <c r="B600" s="498"/>
      <c r="C600" s="499"/>
      <c r="D600" s="87"/>
      <c r="E600" s="500" t="str">
        <f>HYPERLINK("#目录!A32","跳转回到目录页")</f>
        <v>跳转回到目录页</v>
      </c>
      <c r="F600" s="501"/>
    </row>
    <row r="601" spans="1:13" s="88" customFormat="1" ht="26.25" customHeight="1">
      <c r="A601" s="502" t="s">
        <v>1216</v>
      </c>
      <c r="B601" s="502"/>
      <c r="C601" s="503" t="s">
        <v>50</v>
      </c>
      <c r="D601" s="503"/>
      <c r="E601" s="503"/>
      <c r="F601" s="503"/>
      <c r="G601" s="503"/>
      <c r="H601" s="503"/>
      <c r="I601" s="503"/>
      <c r="J601" s="503"/>
      <c r="K601" s="503"/>
      <c r="L601" s="503"/>
      <c r="M601" s="503"/>
    </row>
    <row r="602" spans="1:13" s="88" customFormat="1" ht="16.5" customHeight="1">
      <c r="A602" s="496" t="s">
        <v>1217</v>
      </c>
      <c r="B602" s="496"/>
      <c r="C602" s="493" t="s">
        <v>1347</v>
      </c>
      <c r="D602" s="493"/>
      <c r="E602" s="493"/>
      <c r="F602" s="493"/>
      <c r="G602" s="493"/>
      <c r="H602" s="493"/>
      <c r="I602" s="493"/>
      <c r="J602" s="493"/>
      <c r="K602" s="493"/>
      <c r="L602" s="493"/>
      <c r="M602" s="493"/>
    </row>
    <row r="603" spans="1:13" s="88" customFormat="1" ht="16.5" customHeight="1">
      <c r="A603" s="496" t="s">
        <v>5786</v>
      </c>
      <c r="B603" s="496"/>
      <c r="C603" s="497" t="s">
        <v>1348</v>
      </c>
      <c r="D603" s="497"/>
      <c r="E603" s="497"/>
      <c r="F603" s="497"/>
      <c r="G603" s="497"/>
      <c r="H603" s="497"/>
      <c r="I603" s="497"/>
      <c r="J603" s="497"/>
      <c r="K603" s="497"/>
      <c r="L603" s="497"/>
      <c r="M603" s="497"/>
    </row>
    <row r="604" spans="1:13" s="88" customFormat="1" ht="16.5" customHeight="1">
      <c r="A604" s="496" t="s">
        <v>1220</v>
      </c>
      <c r="B604" s="496"/>
      <c r="C604" s="493" t="s">
        <v>1349</v>
      </c>
      <c r="D604" s="493"/>
      <c r="E604" s="493"/>
      <c r="F604" s="493"/>
      <c r="G604" s="493"/>
      <c r="H604" s="493"/>
      <c r="I604" s="493"/>
      <c r="J604" s="493"/>
      <c r="K604" s="493"/>
      <c r="L604" s="493"/>
      <c r="M604" s="493"/>
    </row>
    <row r="605" spans="1:13" s="88" customFormat="1" ht="16.5" customHeight="1">
      <c r="A605" s="496" t="s">
        <v>5785</v>
      </c>
      <c r="B605" s="496"/>
      <c r="C605" s="493" t="s">
        <v>1350</v>
      </c>
      <c r="D605" s="493"/>
      <c r="E605" s="493"/>
      <c r="F605" s="493"/>
      <c r="G605" s="493"/>
      <c r="H605" s="493"/>
      <c r="I605" s="493"/>
      <c r="J605" s="493"/>
      <c r="K605" s="493"/>
      <c r="L605" s="493"/>
      <c r="M605" s="493"/>
    </row>
    <row r="606" spans="1:13" s="88" customFormat="1" ht="16.5" customHeight="1">
      <c r="A606" s="89" t="s">
        <v>1223</v>
      </c>
      <c r="B606" s="92" t="s">
        <v>1224</v>
      </c>
      <c r="C606" s="493" t="s">
        <v>1351</v>
      </c>
      <c r="D606" s="493"/>
      <c r="E606" s="493"/>
      <c r="F606" s="493"/>
      <c r="G606" s="493"/>
      <c r="H606" s="493"/>
      <c r="I606" s="493"/>
      <c r="J606" s="493"/>
      <c r="K606" s="493"/>
      <c r="L606" s="493"/>
      <c r="M606" s="493"/>
    </row>
    <row r="607" spans="1:13" s="88" customFormat="1" ht="16.5" customHeight="1">
      <c r="A607" s="89"/>
      <c r="B607" s="90" t="s">
        <v>1307</v>
      </c>
      <c r="C607" s="493" t="s">
        <v>1308</v>
      </c>
      <c r="D607" s="493"/>
      <c r="E607" s="493"/>
      <c r="F607" s="493"/>
      <c r="G607" s="493"/>
      <c r="H607" s="493"/>
      <c r="I607" s="493"/>
      <c r="J607" s="493"/>
      <c r="K607" s="493"/>
      <c r="L607" s="493"/>
      <c r="M607" s="493"/>
    </row>
    <row r="608" spans="1:13" s="88" customFormat="1" ht="78.75" customHeight="1">
      <c r="A608" s="89"/>
      <c r="B608" s="90" t="s">
        <v>1352</v>
      </c>
      <c r="C608" s="493" t="s">
        <v>1353</v>
      </c>
      <c r="D608" s="493"/>
      <c r="E608" s="493"/>
      <c r="F608" s="493"/>
      <c r="G608" s="493"/>
      <c r="H608" s="493"/>
      <c r="I608" s="493"/>
      <c r="J608" s="493"/>
      <c r="K608" s="493"/>
      <c r="L608" s="493"/>
      <c r="M608" s="493"/>
    </row>
    <row r="609" spans="1:13" s="88" customFormat="1" ht="16.5" customHeight="1">
      <c r="A609" s="89" t="s">
        <v>1228</v>
      </c>
      <c r="B609" s="493" t="s">
        <v>1354</v>
      </c>
      <c r="C609" s="493"/>
      <c r="D609" s="493"/>
      <c r="E609" s="493"/>
      <c r="F609" s="493"/>
      <c r="G609" s="493"/>
      <c r="H609" s="493"/>
      <c r="I609" s="493"/>
      <c r="J609" s="493"/>
      <c r="K609" s="493"/>
      <c r="L609" s="493"/>
      <c r="M609" s="493"/>
    </row>
    <row r="610" spans="1:13" ht="24.75" customHeight="1">
      <c r="A610" s="89" t="s">
        <v>1229</v>
      </c>
      <c r="B610" s="493" t="s">
        <v>1355</v>
      </c>
      <c r="C610" s="493"/>
      <c r="D610" s="493"/>
      <c r="E610" s="493"/>
      <c r="F610" s="493"/>
      <c r="G610" s="493"/>
      <c r="H610" s="493"/>
      <c r="I610" s="493"/>
      <c r="J610" s="493"/>
      <c r="K610" s="493"/>
      <c r="L610" s="493"/>
      <c r="M610" s="493"/>
    </row>
    <row r="611" spans="1:13" ht="21" customHeight="1">
      <c r="B611" s="494" t="s">
        <v>1231</v>
      </c>
      <c r="C611" s="494"/>
      <c r="D611" s="494"/>
      <c r="E611" s="494"/>
      <c r="F611" s="494"/>
      <c r="G611" s="494"/>
      <c r="H611" s="494"/>
      <c r="I611" s="494"/>
      <c r="J611" s="494"/>
      <c r="K611" s="494"/>
      <c r="L611" s="495"/>
    </row>
    <row r="612" spans="1:13" s="93" customFormat="1" ht="16.5" customHeight="1"/>
    <row r="613" spans="1:13" s="93" customFormat="1" ht="16.5" customHeight="1">
      <c r="A613" s="94" t="s">
        <v>1232</v>
      </c>
      <c r="B613" s="93" t="s">
        <v>1356</v>
      </c>
    </row>
    <row r="614" spans="1:13" s="93" customFormat="1" ht="16.5" customHeight="1"/>
    <row r="615" spans="1:13" s="93" customFormat="1" ht="16.5" customHeight="1">
      <c r="B615" s="95" t="s">
        <v>1357</v>
      </c>
      <c r="C615" s="389">
        <v>40643</v>
      </c>
      <c r="E615" s="94"/>
    </row>
    <row r="616" spans="1:13" s="93" customFormat="1" ht="16.5" customHeight="1">
      <c r="B616" s="99" t="s">
        <v>1358</v>
      </c>
      <c r="C616" s="371">
        <v>40806</v>
      </c>
      <c r="D616" s="104" t="s">
        <v>1238</v>
      </c>
      <c r="E616" s="148"/>
      <c r="H616" s="4"/>
      <c r="I616" s="4"/>
    </row>
    <row r="617" spans="1:13" s="93" customFormat="1" ht="16.5" customHeight="1">
      <c r="B617" s="105" t="s">
        <v>1359</v>
      </c>
      <c r="C617" s="399">
        <f>YEARFRAC(C615,C616,1)</f>
        <v>0.44657534246575342</v>
      </c>
      <c r="D617" s="108" t="s">
        <v>1360</v>
      </c>
      <c r="E617" s="323"/>
      <c r="F617" s="288"/>
      <c r="H617" s="4"/>
      <c r="I617" s="4"/>
    </row>
    <row r="618" spans="1:13" s="93" customFormat="1" ht="16.5" customHeight="1">
      <c r="C618" s="148"/>
      <c r="E618" s="148"/>
      <c r="H618" s="4"/>
      <c r="I618" s="4"/>
    </row>
    <row r="619" spans="1:13" s="93" customFormat="1" ht="16.5" customHeight="1">
      <c r="C619" s="148"/>
      <c r="E619" s="148"/>
      <c r="H619" s="4"/>
      <c r="I619" s="4"/>
    </row>
    <row r="620" spans="1:13" s="93" customFormat="1" ht="16.5" customHeight="1">
      <c r="C620" s="148"/>
      <c r="E620" s="148"/>
      <c r="H620" s="4"/>
      <c r="I620" s="4"/>
    </row>
    <row r="621" spans="1:13" s="93" customFormat="1" ht="16.5" customHeight="1">
      <c r="C621" s="148"/>
      <c r="E621" s="148"/>
      <c r="H621" s="4"/>
      <c r="I621" s="4"/>
    </row>
    <row r="622" spans="1:13" s="93" customFormat="1" ht="16.5" customHeight="1">
      <c r="C622" s="148"/>
      <c r="E622" s="148"/>
      <c r="H622" s="4"/>
      <c r="I622" s="4"/>
    </row>
    <row r="623" spans="1:13" s="93" customFormat="1" ht="16.5" customHeight="1">
      <c r="C623" s="148"/>
      <c r="E623" s="148"/>
      <c r="H623" s="4"/>
      <c r="I623" s="4"/>
    </row>
    <row r="624" spans="1:13" s="93" customFormat="1" ht="16.5" customHeight="1">
      <c r="C624" s="148"/>
      <c r="E624" s="148"/>
      <c r="H624" s="4"/>
      <c r="I624" s="4"/>
    </row>
    <row r="625" spans="3:9" s="93" customFormat="1" ht="16.5" customHeight="1">
      <c r="C625" s="148"/>
      <c r="E625" s="148"/>
      <c r="H625" s="4"/>
      <c r="I625" s="4"/>
    </row>
    <row r="626" spans="3:9" s="93" customFormat="1" ht="16.5" customHeight="1">
      <c r="C626" s="148"/>
      <c r="E626" s="148"/>
      <c r="H626" s="4"/>
      <c r="I626" s="4"/>
    </row>
    <row r="627" spans="3:9" s="93" customFormat="1" ht="16.5" customHeight="1">
      <c r="C627" s="148"/>
      <c r="E627" s="148"/>
      <c r="H627" s="4"/>
      <c r="I627" s="4"/>
    </row>
    <row r="628" spans="3:9" s="93" customFormat="1" ht="16.5" customHeight="1">
      <c r="C628" s="148"/>
      <c r="E628" s="148"/>
      <c r="H628" s="4"/>
      <c r="I628" s="4"/>
    </row>
    <row r="629" spans="3:9" s="93" customFormat="1" ht="16.5" customHeight="1">
      <c r="C629" s="148"/>
      <c r="E629" s="148"/>
      <c r="H629" s="4"/>
      <c r="I629" s="4"/>
    </row>
    <row r="630" spans="3:9" s="93" customFormat="1" ht="16.5" customHeight="1">
      <c r="C630" s="148"/>
      <c r="E630" s="148"/>
      <c r="H630" s="4"/>
      <c r="I630" s="4"/>
    </row>
    <row r="631" spans="3:9" s="93" customFormat="1" ht="16.5" customHeight="1">
      <c r="C631" s="148"/>
      <c r="E631" s="148"/>
      <c r="H631" s="4"/>
      <c r="I631" s="4"/>
    </row>
    <row r="632" spans="3:9" s="93" customFormat="1" ht="16.5" customHeight="1">
      <c r="C632" s="148"/>
      <c r="E632" s="148"/>
      <c r="H632" s="4"/>
      <c r="I632" s="4"/>
    </row>
    <row r="633" spans="3:9" s="93" customFormat="1" ht="16.5" customHeight="1">
      <c r="C633" s="148"/>
      <c r="E633" s="148"/>
      <c r="H633" s="4"/>
      <c r="I633" s="4"/>
    </row>
    <row r="634" spans="3:9" s="93" customFormat="1" ht="16.5" customHeight="1">
      <c r="C634" s="148"/>
      <c r="E634" s="148"/>
      <c r="H634" s="4"/>
      <c r="I634" s="4"/>
    </row>
    <row r="635" spans="3:9" s="93" customFormat="1" ht="16.5" customHeight="1">
      <c r="C635" s="148"/>
      <c r="E635" s="148"/>
      <c r="H635" s="4"/>
      <c r="I635" s="4"/>
    </row>
    <row r="636" spans="3:9" s="93" customFormat="1" ht="16.5" customHeight="1">
      <c r="C636" s="148"/>
      <c r="E636" s="148"/>
      <c r="H636" s="4"/>
      <c r="I636" s="4"/>
    </row>
    <row r="637" spans="3:9" s="93" customFormat="1" ht="16.5" customHeight="1">
      <c r="C637" s="148"/>
      <c r="E637" s="148"/>
      <c r="H637" s="4"/>
      <c r="I637" s="4"/>
    </row>
    <row r="638" spans="3:9" s="93" customFormat="1" ht="16.5" customHeight="1">
      <c r="C638" s="148"/>
      <c r="E638" s="148"/>
      <c r="H638" s="4"/>
      <c r="I638" s="4"/>
    </row>
    <row r="639" spans="3:9" s="93" customFormat="1" ht="16.5" customHeight="1">
      <c r="C639" s="148"/>
      <c r="E639" s="148"/>
      <c r="H639" s="4"/>
      <c r="I639" s="4"/>
    </row>
    <row r="640" spans="3:9" s="93" customFormat="1" ht="16.5" customHeight="1">
      <c r="C640" s="148"/>
      <c r="E640" s="148"/>
      <c r="H640" s="4"/>
      <c r="I640" s="4"/>
    </row>
    <row r="641" spans="3:9" s="93" customFormat="1" ht="16.5" customHeight="1">
      <c r="C641" s="148"/>
      <c r="E641" s="148"/>
      <c r="H641" s="4"/>
      <c r="I641" s="4"/>
    </row>
    <row r="642" spans="3:9" s="93" customFormat="1" ht="16.5" customHeight="1">
      <c r="C642" s="148"/>
      <c r="E642" s="148"/>
      <c r="H642" s="4"/>
      <c r="I642" s="4"/>
    </row>
    <row r="643" spans="3:9" s="93" customFormat="1" ht="16.5" customHeight="1">
      <c r="C643" s="148"/>
      <c r="E643" s="148"/>
      <c r="H643" s="4"/>
      <c r="I643" s="4"/>
    </row>
    <row r="644" spans="3:9" s="93" customFormat="1" ht="16.5" customHeight="1">
      <c r="C644" s="148"/>
      <c r="E644" s="148"/>
      <c r="H644" s="4"/>
      <c r="I644" s="4"/>
    </row>
    <row r="645" spans="3:9" s="93" customFormat="1" ht="16.5" customHeight="1">
      <c r="C645" s="148"/>
      <c r="E645" s="148"/>
      <c r="H645" s="4"/>
      <c r="I645" s="4"/>
    </row>
    <row r="646" spans="3:9" s="93" customFormat="1" ht="16.5" customHeight="1">
      <c r="C646" s="148"/>
      <c r="E646" s="148"/>
      <c r="H646" s="4"/>
      <c r="I646" s="4"/>
    </row>
    <row r="647" spans="3:9" s="93" customFormat="1" ht="16.5" customHeight="1">
      <c r="C647" s="148"/>
      <c r="E647" s="148"/>
      <c r="H647" s="4"/>
      <c r="I647" s="4"/>
    </row>
    <row r="648" spans="3:9" s="93" customFormat="1" ht="16.5" customHeight="1">
      <c r="C648" s="148"/>
      <c r="E648" s="148"/>
      <c r="H648" s="4"/>
      <c r="I648" s="4"/>
    </row>
    <row r="649" spans="3:9" s="93" customFormat="1" ht="16.5" customHeight="1">
      <c r="C649" s="148"/>
      <c r="E649" s="148"/>
      <c r="H649" s="4"/>
      <c r="I649" s="4"/>
    </row>
    <row r="650" spans="3:9" s="93" customFormat="1" ht="16.5" customHeight="1">
      <c r="C650" s="148"/>
      <c r="E650" s="148"/>
      <c r="H650" s="4"/>
      <c r="I650" s="4"/>
    </row>
    <row r="651" spans="3:9" s="93" customFormat="1" ht="16.5" customHeight="1">
      <c r="C651" s="148"/>
      <c r="E651" s="148"/>
      <c r="H651" s="4"/>
      <c r="I651" s="4"/>
    </row>
    <row r="652" spans="3:9" s="93" customFormat="1" ht="16.5" customHeight="1">
      <c r="C652" s="148"/>
      <c r="E652" s="148"/>
      <c r="H652" s="4"/>
      <c r="I652" s="4"/>
    </row>
    <row r="653" spans="3:9" s="93" customFormat="1" ht="16.5" customHeight="1">
      <c r="C653" s="148"/>
      <c r="E653" s="148"/>
      <c r="H653" s="4"/>
      <c r="I653" s="4"/>
    </row>
    <row r="654" spans="3:9" s="93" customFormat="1" ht="16.5" customHeight="1">
      <c r="C654" s="148"/>
      <c r="E654" s="148"/>
      <c r="H654" s="4"/>
      <c r="I654" s="4"/>
    </row>
    <row r="655" spans="3:9" s="93" customFormat="1" ht="16.5" customHeight="1">
      <c r="C655" s="148"/>
      <c r="E655" s="148"/>
      <c r="H655" s="4"/>
      <c r="I655" s="4"/>
    </row>
    <row r="656" spans="3:9" s="93" customFormat="1" ht="16.5" customHeight="1">
      <c r="C656" s="148"/>
      <c r="E656" s="148"/>
      <c r="H656" s="4"/>
      <c r="I656" s="4"/>
    </row>
    <row r="657" spans="3:9" s="93" customFormat="1" ht="16.5" customHeight="1">
      <c r="C657" s="148"/>
      <c r="E657" s="148"/>
      <c r="H657" s="4"/>
      <c r="I657" s="4"/>
    </row>
    <row r="658" spans="3:9" s="93" customFormat="1" ht="16.5" customHeight="1">
      <c r="C658" s="148"/>
      <c r="E658" s="148"/>
      <c r="H658" s="4"/>
      <c r="I658" s="4"/>
    </row>
    <row r="659" spans="3:9" s="93" customFormat="1" ht="16.5" customHeight="1">
      <c r="C659" s="148"/>
      <c r="E659" s="148"/>
      <c r="H659" s="4"/>
      <c r="I659" s="4"/>
    </row>
    <row r="660" spans="3:9" s="93" customFormat="1" ht="16.5" customHeight="1">
      <c r="C660" s="148"/>
      <c r="E660" s="148"/>
      <c r="H660" s="4"/>
      <c r="I660" s="4"/>
    </row>
    <row r="661" spans="3:9" s="93" customFormat="1" ht="16.5" customHeight="1">
      <c r="C661" s="148"/>
      <c r="E661" s="148"/>
      <c r="H661" s="4"/>
      <c r="I661" s="4"/>
    </row>
    <row r="662" spans="3:9" s="93" customFormat="1" ht="16.5" customHeight="1">
      <c r="C662" s="148"/>
      <c r="E662" s="148"/>
      <c r="H662" s="4"/>
      <c r="I662" s="4"/>
    </row>
    <row r="663" spans="3:9" s="93" customFormat="1" ht="16.5" customHeight="1">
      <c r="C663" s="148"/>
      <c r="E663" s="148"/>
      <c r="H663" s="4"/>
      <c r="I663" s="4"/>
    </row>
    <row r="664" spans="3:9" s="93" customFormat="1" ht="16.5" customHeight="1">
      <c r="C664" s="148"/>
      <c r="E664" s="148"/>
      <c r="H664" s="4"/>
      <c r="I664" s="4"/>
    </row>
    <row r="665" spans="3:9" s="93" customFormat="1" ht="16.5" customHeight="1">
      <c r="C665" s="148"/>
      <c r="E665" s="148"/>
      <c r="H665" s="4"/>
      <c r="I665" s="4"/>
    </row>
    <row r="666" spans="3:9" s="93" customFormat="1" ht="16.5" customHeight="1">
      <c r="C666" s="148"/>
      <c r="E666" s="148"/>
      <c r="H666" s="4"/>
      <c r="I666" s="4"/>
    </row>
    <row r="667" spans="3:9" s="93" customFormat="1" ht="16.5" customHeight="1">
      <c r="C667" s="148"/>
      <c r="E667" s="148"/>
      <c r="H667" s="4"/>
      <c r="I667" s="4"/>
    </row>
    <row r="668" spans="3:9" s="93" customFormat="1" ht="16.5" customHeight="1">
      <c r="C668" s="148"/>
      <c r="E668" s="148"/>
      <c r="H668" s="4"/>
      <c r="I668" s="4"/>
    </row>
    <row r="669" spans="3:9" s="93" customFormat="1" ht="16.5" customHeight="1">
      <c r="C669" s="148"/>
      <c r="E669" s="148"/>
      <c r="H669" s="4"/>
      <c r="I669" s="4"/>
    </row>
    <row r="670" spans="3:9" s="93" customFormat="1" ht="16.5" customHeight="1">
      <c r="C670" s="148"/>
      <c r="E670" s="148"/>
      <c r="H670" s="4"/>
      <c r="I670" s="4"/>
    </row>
    <row r="671" spans="3:9" s="93" customFormat="1" ht="16.5" customHeight="1">
      <c r="C671" s="148"/>
      <c r="E671" s="148"/>
      <c r="H671" s="4"/>
      <c r="I671" s="4"/>
    </row>
    <row r="672" spans="3:9" s="93" customFormat="1" ht="16.5" customHeight="1">
      <c r="C672" s="148"/>
      <c r="E672" s="148"/>
      <c r="H672" s="4"/>
      <c r="I672" s="4"/>
    </row>
    <row r="673" spans="3:9" s="93" customFormat="1" ht="16.5" customHeight="1">
      <c r="C673" s="148"/>
      <c r="E673" s="148"/>
      <c r="H673" s="4"/>
      <c r="I673" s="4"/>
    </row>
    <row r="674" spans="3:9" s="93" customFormat="1" ht="16.5" customHeight="1">
      <c r="C674" s="148"/>
      <c r="E674" s="148"/>
      <c r="H674" s="4"/>
      <c r="I674" s="4"/>
    </row>
    <row r="675" spans="3:9" s="93" customFormat="1" ht="16.5" customHeight="1">
      <c r="C675" s="148"/>
      <c r="E675" s="148"/>
      <c r="H675" s="4"/>
      <c r="I675" s="4"/>
    </row>
    <row r="676" spans="3:9" s="93" customFormat="1" ht="16.5" customHeight="1">
      <c r="C676" s="148"/>
      <c r="E676" s="148"/>
      <c r="H676" s="4"/>
      <c r="I676" s="4"/>
    </row>
    <row r="677" spans="3:9" s="93" customFormat="1" ht="16.5" customHeight="1">
      <c r="C677" s="148"/>
      <c r="E677" s="148"/>
      <c r="H677" s="4"/>
      <c r="I677" s="4"/>
    </row>
    <row r="678" spans="3:9" s="93" customFormat="1" ht="16.5" customHeight="1">
      <c r="C678" s="148"/>
      <c r="E678" s="148"/>
      <c r="H678" s="4"/>
      <c r="I678" s="4"/>
    </row>
    <row r="679" spans="3:9" s="93" customFormat="1" ht="16.5" customHeight="1">
      <c r="C679" s="148"/>
      <c r="E679" s="148"/>
      <c r="H679" s="4"/>
      <c r="I679" s="4"/>
    </row>
    <row r="680" spans="3:9" s="93" customFormat="1" ht="16.5" customHeight="1">
      <c r="C680" s="148"/>
      <c r="E680" s="148"/>
      <c r="H680" s="4"/>
      <c r="I680" s="4"/>
    </row>
    <row r="700" spans="1:13" s="88" customFormat="1" ht="26.25" customHeight="1">
      <c r="A700" s="498" t="s">
        <v>53</v>
      </c>
      <c r="B700" s="498"/>
      <c r="C700" s="499"/>
      <c r="D700" s="87"/>
      <c r="E700" s="500" t="str">
        <f>HYPERLINK("#目录!A34","跳转回到目录页")</f>
        <v>跳转回到目录页</v>
      </c>
      <c r="F700" s="501"/>
    </row>
    <row r="701" spans="1:13" s="88" customFormat="1" ht="26.25" customHeight="1">
      <c r="A701" s="502" t="s">
        <v>1216</v>
      </c>
      <c r="B701" s="502"/>
      <c r="C701" s="503" t="s">
        <v>54</v>
      </c>
      <c r="D701" s="503"/>
      <c r="E701" s="503"/>
      <c r="F701" s="503"/>
      <c r="G701" s="503"/>
      <c r="H701" s="503"/>
      <c r="I701" s="503"/>
      <c r="J701" s="503"/>
      <c r="K701" s="503"/>
      <c r="L701" s="503"/>
      <c r="M701" s="503"/>
    </row>
    <row r="702" spans="1:13" s="88" customFormat="1" ht="16.5" customHeight="1">
      <c r="A702" s="496" t="s">
        <v>1217</v>
      </c>
      <c r="B702" s="496"/>
      <c r="C702" s="493" t="s">
        <v>1361</v>
      </c>
      <c r="D702" s="493"/>
      <c r="E702" s="493"/>
      <c r="F702" s="493"/>
      <c r="G702" s="493"/>
      <c r="H702" s="493"/>
      <c r="I702" s="493"/>
      <c r="J702" s="493"/>
      <c r="K702" s="493"/>
      <c r="L702" s="493"/>
      <c r="M702" s="493"/>
    </row>
    <row r="703" spans="1:13" s="88" customFormat="1" ht="16.5" customHeight="1">
      <c r="A703" s="496" t="s">
        <v>5786</v>
      </c>
      <c r="B703" s="496"/>
      <c r="C703" s="497" t="s">
        <v>1362</v>
      </c>
      <c r="D703" s="497"/>
      <c r="E703" s="497"/>
      <c r="F703" s="497"/>
      <c r="G703" s="497"/>
      <c r="H703" s="497"/>
      <c r="I703" s="497"/>
      <c r="J703" s="497"/>
      <c r="K703" s="497"/>
      <c r="L703" s="497"/>
      <c r="M703" s="497"/>
    </row>
    <row r="704" spans="1:13" s="88" customFormat="1" ht="16.5" customHeight="1">
      <c r="A704" s="496" t="s">
        <v>1220</v>
      </c>
      <c r="B704" s="496"/>
      <c r="C704" s="493" t="s">
        <v>1363</v>
      </c>
      <c r="D704" s="493"/>
      <c r="E704" s="493"/>
      <c r="F704" s="493"/>
      <c r="G704" s="493"/>
      <c r="H704" s="493"/>
      <c r="I704" s="493"/>
      <c r="J704" s="493"/>
      <c r="K704" s="493"/>
      <c r="L704" s="493"/>
      <c r="M704" s="493"/>
    </row>
    <row r="705" spans="1:13" s="88" customFormat="1" ht="16.5" customHeight="1">
      <c r="A705" s="496" t="s">
        <v>5785</v>
      </c>
      <c r="B705" s="496"/>
      <c r="C705" s="493" t="s">
        <v>1364</v>
      </c>
      <c r="D705" s="493"/>
      <c r="E705" s="493"/>
      <c r="F705" s="493"/>
      <c r="G705" s="493"/>
      <c r="H705" s="493"/>
      <c r="I705" s="493"/>
      <c r="J705" s="493"/>
      <c r="K705" s="493"/>
      <c r="L705" s="493"/>
      <c r="M705" s="493"/>
    </row>
    <row r="706" spans="1:13" s="88" customFormat="1" ht="16.5" customHeight="1">
      <c r="A706" s="89" t="s">
        <v>1223</v>
      </c>
      <c r="B706" s="92" t="s">
        <v>1365</v>
      </c>
      <c r="C706" s="493" t="s">
        <v>1308</v>
      </c>
      <c r="D706" s="493"/>
      <c r="E706" s="493"/>
      <c r="F706" s="493"/>
      <c r="G706" s="493"/>
      <c r="H706" s="493"/>
      <c r="I706" s="493"/>
      <c r="J706" s="493"/>
      <c r="K706" s="493"/>
      <c r="L706" s="493"/>
      <c r="M706" s="493"/>
    </row>
    <row r="707" spans="1:13" s="88" customFormat="1" ht="16.5" customHeight="1">
      <c r="A707" s="89"/>
      <c r="B707" s="92" t="s">
        <v>1366</v>
      </c>
      <c r="C707" s="493" t="s">
        <v>1367</v>
      </c>
      <c r="D707" s="493"/>
      <c r="E707" s="493"/>
      <c r="F707" s="493"/>
      <c r="G707" s="493"/>
      <c r="H707" s="493"/>
      <c r="I707" s="493"/>
      <c r="J707" s="493"/>
      <c r="K707" s="493"/>
      <c r="L707" s="493"/>
      <c r="M707" s="493"/>
    </row>
    <row r="708" spans="1:13" s="88" customFormat="1" ht="16.5" customHeight="1">
      <c r="A708" s="89" t="s">
        <v>1228</v>
      </c>
      <c r="B708" s="493" t="s">
        <v>1368</v>
      </c>
      <c r="C708" s="493"/>
      <c r="D708" s="493"/>
      <c r="E708" s="493"/>
      <c r="F708" s="493"/>
      <c r="G708" s="493"/>
      <c r="H708" s="493"/>
      <c r="I708" s="493"/>
      <c r="J708" s="493"/>
      <c r="K708" s="493"/>
      <c r="L708" s="493"/>
      <c r="M708" s="493"/>
    </row>
    <row r="709" spans="1:13" ht="51.75" customHeight="1">
      <c r="A709" s="89" t="s">
        <v>1229</v>
      </c>
      <c r="B709" s="493" t="s">
        <v>1369</v>
      </c>
      <c r="C709" s="493"/>
      <c r="D709" s="493"/>
      <c r="E709" s="493"/>
      <c r="F709" s="493"/>
      <c r="G709" s="493"/>
      <c r="H709" s="493"/>
      <c r="I709" s="493"/>
      <c r="J709" s="493"/>
      <c r="K709" s="493"/>
      <c r="L709" s="493"/>
      <c r="M709" s="493"/>
    </row>
    <row r="710" spans="1:13" ht="21" customHeight="1">
      <c r="B710" s="494" t="s">
        <v>1231</v>
      </c>
      <c r="C710" s="494"/>
      <c r="D710" s="494"/>
      <c r="E710" s="494"/>
      <c r="F710" s="494"/>
      <c r="G710" s="494"/>
      <c r="H710" s="494"/>
      <c r="I710" s="494"/>
      <c r="J710" s="494"/>
      <c r="K710" s="494"/>
      <c r="L710" s="495"/>
    </row>
    <row r="711" spans="1:13" s="93" customFormat="1" ht="16.5" customHeight="1"/>
    <row r="712" spans="1:13" s="93" customFormat="1" ht="16.5" customHeight="1">
      <c r="A712" s="94" t="s">
        <v>1232</v>
      </c>
      <c r="B712" s="93" t="s">
        <v>1370</v>
      </c>
    </row>
    <row r="713" spans="1:13" s="93" customFormat="1" ht="16.5" customHeight="1"/>
    <row r="714" spans="1:13" s="93" customFormat="1" ht="24.75" customHeight="1">
      <c r="B714" s="95" t="s">
        <v>1371</v>
      </c>
      <c r="C714" s="400" t="s">
        <v>1372</v>
      </c>
      <c r="D714" s="401" t="s">
        <v>1373</v>
      </c>
      <c r="E714" s="97" t="s">
        <v>1374</v>
      </c>
      <c r="F714" s="94"/>
    </row>
    <row r="715" spans="1:13" s="93" customFormat="1" ht="16.5" customHeight="1">
      <c r="B715" s="111" t="s">
        <v>1375</v>
      </c>
      <c r="C715" s="381"/>
      <c r="D715" s="110"/>
      <c r="E715" s="371"/>
      <c r="F715" s="478" t="s">
        <v>1376</v>
      </c>
      <c r="G715" s="479"/>
      <c r="H715" s="479"/>
    </row>
    <row r="716" spans="1:13" s="93" customFormat="1" ht="16.5" customHeight="1">
      <c r="B716" s="402">
        <v>40695</v>
      </c>
      <c r="C716" s="110">
        <f>WEEKDAY(B716,2)</f>
        <v>3</v>
      </c>
      <c r="D716" s="110">
        <f t="shared" ref="D716:D728" si="0">WEEKNUM(B716,2)</f>
        <v>23</v>
      </c>
      <c r="E716" s="221">
        <v>4940</v>
      </c>
      <c r="F716" s="108" t="s">
        <v>1377</v>
      </c>
    </row>
    <row r="717" spans="1:13" s="93" customFormat="1" ht="16.5" customHeight="1">
      <c r="B717" s="402">
        <v>40696</v>
      </c>
      <c r="C717" s="110">
        <f t="shared" ref="C717:C728" si="1">WEEKDAY(B717,2)</f>
        <v>4</v>
      </c>
      <c r="D717" s="110">
        <f t="shared" si="0"/>
        <v>23</v>
      </c>
      <c r="E717" s="101">
        <v>7800</v>
      </c>
    </row>
    <row r="718" spans="1:13" s="93" customFormat="1" ht="16.5" customHeight="1">
      <c r="B718" s="402">
        <v>40697</v>
      </c>
      <c r="C718" s="110">
        <f t="shared" si="1"/>
        <v>5</v>
      </c>
      <c r="D718" s="110">
        <f t="shared" si="0"/>
        <v>23</v>
      </c>
      <c r="E718" s="101">
        <v>3430</v>
      </c>
      <c r="F718" s="478" t="s">
        <v>1378</v>
      </c>
      <c r="G718" s="479"/>
      <c r="H718" s="479"/>
    </row>
    <row r="719" spans="1:13" s="93" customFormat="1" ht="16.5" customHeight="1">
      <c r="B719" s="402">
        <v>40698</v>
      </c>
      <c r="C719" s="110">
        <f t="shared" si="1"/>
        <v>6</v>
      </c>
      <c r="D719" s="110">
        <f t="shared" si="0"/>
        <v>23</v>
      </c>
      <c r="E719" s="101">
        <v>6530</v>
      </c>
      <c r="F719" s="108" t="s">
        <v>1379</v>
      </c>
    </row>
    <row r="720" spans="1:13" s="93" customFormat="1" ht="16.5" customHeight="1">
      <c r="B720" s="402">
        <v>40699</v>
      </c>
      <c r="C720" s="110">
        <f t="shared" si="1"/>
        <v>7</v>
      </c>
      <c r="D720" s="110">
        <f t="shared" si="0"/>
        <v>23</v>
      </c>
      <c r="E720" s="101">
        <v>5421</v>
      </c>
    </row>
    <row r="721" spans="1:8" s="93" customFormat="1" ht="16.5" customHeight="1">
      <c r="A721" s="94"/>
      <c r="B721" s="402">
        <v>40700</v>
      </c>
      <c r="C721" s="110">
        <f t="shared" si="1"/>
        <v>1</v>
      </c>
      <c r="D721" s="110">
        <f t="shared" si="0"/>
        <v>24</v>
      </c>
      <c r="E721" s="101">
        <v>4850</v>
      </c>
    </row>
    <row r="722" spans="1:8" s="93" customFormat="1" ht="16.5" customHeight="1">
      <c r="B722" s="402">
        <v>40701</v>
      </c>
      <c r="C722" s="110">
        <f t="shared" si="1"/>
        <v>2</v>
      </c>
      <c r="D722" s="110">
        <f t="shared" si="0"/>
        <v>24</v>
      </c>
      <c r="E722" s="101">
        <v>3625</v>
      </c>
    </row>
    <row r="723" spans="1:8" s="93" customFormat="1" ht="16.5" customHeight="1">
      <c r="B723" s="402">
        <v>40702</v>
      </c>
      <c r="C723" s="110">
        <f t="shared" si="1"/>
        <v>3</v>
      </c>
      <c r="D723" s="110">
        <f t="shared" si="0"/>
        <v>24</v>
      </c>
      <c r="E723" s="221">
        <v>7125</v>
      </c>
      <c r="F723" s="94"/>
    </row>
    <row r="724" spans="1:8" s="93" customFormat="1" ht="16.5" customHeight="1">
      <c r="B724" s="402">
        <v>40703</v>
      </c>
      <c r="C724" s="110">
        <f t="shared" si="1"/>
        <v>4</v>
      </c>
      <c r="D724" s="110">
        <f t="shared" si="0"/>
        <v>24</v>
      </c>
      <c r="E724" s="101">
        <v>4920</v>
      </c>
    </row>
    <row r="725" spans="1:8" s="93" customFormat="1" ht="16.5" customHeight="1">
      <c r="B725" s="402">
        <v>40704</v>
      </c>
      <c r="C725" s="110">
        <f t="shared" si="1"/>
        <v>5</v>
      </c>
      <c r="D725" s="110">
        <f t="shared" si="0"/>
        <v>24</v>
      </c>
      <c r="E725" s="101">
        <v>6538</v>
      </c>
    </row>
    <row r="726" spans="1:8" s="93" customFormat="1" ht="16.5" customHeight="1">
      <c r="B726" s="402">
        <v>40705</v>
      </c>
      <c r="C726" s="110">
        <f t="shared" si="1"/>
        <v>6</v>
      </c>
      <c r="D726" s="110">
        <f t="shared" si="0"/>
        <v>24</v>
      </c>
      <c r="E726" s="101">
        <v>2653</v>
      </c>
    </row>
    <row r="727" spans="1:8" s="93" customFormat="1" ht="16.5" customHeight="1">
      <c r="B727" s="402">
        <v>40706</v>
      </c>
      <c r="C727" s="110">
        <f t="shared" si="1"/>
        <v>7</v>
      </c>
      <c r="D727" s="110">
        <f t="shared" si="0"/>
        <v>24</v>
      </c>
      <c r="E727" s="101">
        <v>8623</v>
      </c>
    </row>
    <row r="728" spans="1:8" s="93" customFormat="1" ht="16.5" customHeight="1">
      <c r="B728" s="402">
        <v>40707</v>
      </c>
      <c r="C728" s="110">
        <f t="shared" si="1"/>
        <v>1</v>
      </c>
      <c r="D728" s="110">
        <f t="shared" si="0"/>
        <v>25</v>
      </c>
      <c r="E728" s="101">
        <v>1597</v>
      </c>
    </row>
    <row r="729" spans="1:8" s="93" customFormat="1" ht="16.5" customHeight="1">
      <c r="B729" s="151" t="s">
        <v>1375</v>
      </c>
      <c r="C729" s="113"/>
      <c r="D729" s="113"/>
      <c r="E729" s="107"/>
    </row>
    <row r="730" spans="1:8" s="93" customFormat="1" ht="16.5" customHeight="1"/>
    <row r="731" spans="1:8" s="93" customFormat="1" ht="16.5" customHeight="1">
      <c r="A731" s="94"/>
      <c r="B731" s="480" t="s">
        <v>1380</v>
      </c>
      <c r="C731" s="481"/>
    </row>
    <row r="732" spans="1:8" s="93" customFormat="1" ht="16.5" customHeight="1">
      <c r="B732" s="111" t="s">
        <v>1381</v>
      </c>
      <c r="C732" s="112" t="s">
        <v>1382</v>
      </c>
    </row>
    <row r="733" spans="1:8" s="93" customFormat="1" ht="16.5" customHeight="1">
      <c r="B733" s="151">
        <v>24</v>
      </c>
      <c r="C733" s="403">
        <f>SUMIF(D716:D728,B733,E716:E728)</f>
        <v>38334</v>
      </c>
      <c r="D733" s="311"/>
      <c r="E733" s="311"/>
      <c r="F733" s="94"/>
    </row>
    <row r="734" spans="1:8" s="93" customFormat="1" ht="16.5" customHeight="1">
      <c r="C734" s="312"/>
      <c r="E734" s="312"/>
      <c r="F734" s="94"/>
      <c r="H734" s="319"/>
    </row>
    <row r="735" spans="1:8" s="93" customFormat="1" ht="16.5" customHeight="1">
      <c r="B735" s="187" t="s">
        <v>1383</v>
      </c>
      <c r="C735" s="404"/>
      <c r="E735" s="312"/>
      <c r="F735" s="94"/>
    </row>
    <row r="736" spans="1:8" s="93" customFormat="1" ht="16.5" customHeight="1">
      <c r="B736" s="111" t="s">
        <v>1384</v>
      </c>
      <c r="C736" s="405" t="s">
        <v>1385</v>
      </c>
      <c r="D736" s="94"/>
      <c r="E736" s="312"/>
      <c r="F736" s="94"/>
    </row>
    <row r="737" spans="2:3" s="93" customFormat="1" ht="16.5" customHeight="1">
      <c r="B737" s="151">
        <v>7</v>
      </c>
      <c r="C737" s="107">
        <f>SUMIF(C716:C728,B737,E716:E728)</f>
        <v>14044</v>
      </c>
    </row>
    <row r="738" spans="2:3" s="93" customFormat="1" ht="16.5" customHeight="1">
      <c r="C738" s="312"/>
    </row>
    <row r="739" spans="2:3" s="93" customFormat="1" ht="16.5" customHeight="1">
      <c r="B739" s="93" t="s">
        <v>1261</v>
      </c>
    </row>
    <row r="740" spans="2:3" s="93" customFormat="1" ht="16.5" customHeight="1">
      <c r="B740" s="94" t="s">
        <v>81</v>
      </c>
      <c r="C740" s="93" t="s">
        <v>1386</v>
      </c>
    </row>
    <row r="741" spans="2:3" s="93" customFormat="1" ht="16.5" customHeight="1">
      <c r="B741" s="94" t="s">
        <v>94</v>
      </c>
      <c r="C741" s="93" t="s">
        <v>1387</v>
      </c>
    </row>
  </sheetData>
  <mergeCells count="159">
    <mergeCell ref="A4:B4"/>
    <mergeCell ref="C4:M4"/>
    <mergeCell ref="A5:B5"/>
    <mergeCell ref="C5:M5"/>
    <mergeCell ref="A6:B6"/>
    <mergeCell ref="C6:M6"/>
    <mergeCell ref="A1:C1"/>
    <mergeCell ref="E1:F1"/>
    <mergeCell ref="A2:B2"/>
    <mergeCell ref="C2:M2"/>
    <mergeCell ref="A3:B3"/>
    <mergeCell ref="C3:M3"/>
    <mergeCell ref="A100:C100"/>
    <mergeCell ref="E100:F100"/>
    <mergeCell ref="A101:B101"/>
    <mergeCell ref="C101:M101"/>
    <mergeCell ref="A102:B102"/>
    <mergeCell ref="C102:M102"/>
    <mergeCell ref="C7:M7"/>
    <mergeCell ref="C8:M8"/>
    <mergeCell ref="B9:M9"/>
    <mergeCell ref="B10:M10"/>
    <mergeCell ref="B11:L11"/>
    <mergeCell ref="B20:F20"/>
    <mergeCell ref="C106:M106"/>
    <mergeCell ref="C107:M107"/>
    <mergeCell ref="B108:M108"/>
    <mergeCell ref="B109:M109"/>
    <mergeCell ref="B110:L110"/>
    <mergeCell ref="B114:E114"/>
    <mergeCell ref="A103:B103"/>
    <mergeCell ref="C103:M103"/>
    <mergeCell ref="A104:B104"/>
    <mergeCell ref="C104:M104"/>
    <mergeCell ref="A105:B105"/>
    <mergeCell ref="C105:M105"/>
    <mergeCell ref="A201:B201"/>
    <mergeCell ref="C201:M201"/>
    <mergeCell ref="A202:B202"/>
    <mergeCell ref="C202:M202"/>
    <mergeCell ref="A203:B203"/>
    <mergeCell ref="C203:M203"/>
    <mergeCell ref="F115:G115"/>
    <mergeCell ref="F116:G116"/>
    <mergeCell ref="F117:G117"/>
    <mergeCell ref="F118:G118"/>
    <mergeCell ref="A200:C200"/>
    <mergeCell ref="E200:F200"/>
    <mergeCell ref="C208:M208"/>
    <mergeCell ref="B209:M209"/>
    <mergeCell ref="B210:M210"/>
    <mergeCell ref="B211:L211"/>
    <mergeCell ref="B214:L214"/>
    <mergeCell ref="A300:C300"/>
    <mergeCell ref="E300:F300"/>
    <mergeCell ref="A204:B204"/>
    <mergeCell ref="C204:M204"/>
    <mergeCell ref="A205:B205"/>
    <mergeCell ref="C205:M205"/>
    <mergeCell ref="C206:M206"/>
    <mergeCell ref="C207:M207"/>
    <mergeCell ref="A304:B304"/>
    <mergeCell ref="C304:M304"/>
    <mergeCell ref="A305:B305"/>
    <mergeCell ref="C305:M305"/>
    <mergeCell ref="C306:M306"/>
    <mergeCell ref="C307:M307"/>
    <mergeCell ref="A301:B301"/>
    <mergeCell ref="C301:M301"/>
    <mergeCell ref="A302:B302"/>
    <mergeCell ref="C302:M302"/>
    <mergeCell ref="A303:B303"/>
    <mergeCell ref="C303:M303"/>
    <mergeCell ref="A401:B401"/>
    <mergeCell ref="C401:M401"/>
    <mergeCell ref="A402:B402"/>
    <mergeCell ref="C402:M402"/>
    <mergeCell ref="A403:B403"/>
    <mergeCell ref="C403:M403"/>
    <mergeCell ref="C308:M308"/>
    <mergeCell ref="B309:M309"/>
    <mergeCell ref="B310:M310"/>
    <mergeCell ref="B311:L311"/>
    <mergeCell ref="A400:C400"/>
    <mergeCell ref="E400:F400"/>
    <mergeCell ref="C408:M408"/>
    <mergeCell ref="B409:M409"/>
    <mergeCell ref="B410:M410"/>
    <mergeCell ref="B411:L411"/>
    <mergeCell ref="A500:C500"/>
    <mergeCell ref="E500:F500"/>
    <mergeCell ref="A404:B404"/>
    <mergeCell ref="C404:M404"/>
    <mergeCell ref="A405:B405"/>
    <mergeCell ref="C405:M405"/>
    <mergeCell ref="C406:M406"/>
    <mergeCell ref="C407:M407"/>
    <mergeCell ref="A504:B504"/>
    <mergeCell ref="C504:M504"/>
    <mergeCell ref="A505:B505"/>
    <mergeCell ref="C505:M505"/>
    <mergeCell ref="C506:M506"/>
    <mergeCell ref="C507:M507"/>
    <mergeCell ref="A501:B501"/>
    <mergeCell ref="C501:M501"/>
    <mergeCell ref="A502:B502"/>
    <mergeCell ref="C502:M502"/>
    <mergeCell ref="A503:B503"/>
    <mergeCell ref="C503:M503"/>
    <mergeCell ref="A600:C600"/>
    <mergeCell ref="E600:F600"/>
    <mergeCell ref="A601:B601"/>
    <mergeCell ref="C601:M601"/>
    <mergeCell ref="A602:B602"/>
    <mergeCell ref="C602:M602"/>
    <mergeCell ref="C508:M508"/>
    <mergeCell ref="B509:M509"/>
    <mergeCell ref="B510:M510"/>
    <mergeCell ref="B511:L511"/>
    <mergeCell ref="B520:F520"/>
    <mergeCell ref="H520:L520"/>
    <mergeCell ref="J521:J522"/>
    <mergeCell ref="C702:M702"/>
    <mergeCell ref="C606:M606"/>
    <mergeCell ref="C607:M607"/>
    <mergeCell ref="C608:M608"/>
    <mergeCell ref="B609:M609"/>
    <mergeCell ref="B610:M610"/>
    <mergeCell ref="B611:L611"/>
    <mergeCell ref="A603:B603"/>
    <mergeCell ref="C603:M603"/>
    <mergeCell ref="A604:B604"/>
    <mergeCell ref="C604:M604"/>
    <mergeCell ref="A605:B605"/>
    <mergeCell ref="C605:M605"/>
    <mergeCell ref="F718:H718"/>
    <mergeCell ref="B731:C731"/>
    <mergeCell ref="B319:B321"/>
    <mergeCell ref="B521:B523"/>
    <mergeCell ref="D521:D523"/>
    <mergeCell ref="E521:E523"/>
    <mergeCell ref="F521:F523"/>
    <mergeCell ref="C706:M706"/>
    <mergeCell ref="C707:M707"/>
    <mergeCell ref="B708:M708"/>
    <mergeCell ref="B709:M709"/>
    <mergeCell ref="B710:L710"/>
    <mergeCell ref="F715:H715"/>
    <mergeCell ref="A703:B703"/>
    <mergeCell ref="C703:M703"/>
    <mergeCell ref="A704:B704"/>
    <mergeCell ref="C704:M704"/>
    <mergeCell ref="A705:B705"/>
    <mergeCell ref="C705:M705"/>
    <mergeCell ref="A700:C700"/>
    <mergeCell ref="E700:F700"/>
    <mergeCell ref="A701:B701"/>
    <mergeCell ref="C701:M701"/>
    <mergeCell ref="A702:B702"/>
  </mergeCells>
  <phoneticPr fontId="2" type="noConversion"/>
  <pageMargins left="0.75" right="0.75" top="1" bottom="1" header="0.5" footer="0.5"/>
  <pageSetup paperSize="9" orientation="portrait" horizontalDpi="1200" verticalDpi="1200"/>
  <headerFooter scaleWithDoc="0"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AV224"/>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289</v>
      </c>
      <c r="B1" s="498"/>
      <c r="C1" s="499"/>
      <c r="D1" s="87"/>
      <c r="E1" s="500" t="str">
        <f>HYPERLINK("#目录!A166","跳转回到目录页")</f>
        <v>跳转回到目录页</v>
      </c>
      <c r="F1" s="501"/>
    </row>
    <row r="2" spans="1:48" s="88" customFormat="1" ht="26.25" customHeight="1">
      <c r="A2" s="502" t="s">
        <v>1216</v>
      </c>
      <c r="B2" s="502"/>
      <c r="C2" s="503" t="s">
        <v>290</v>
      </c>
      <c r="D2" s="503"/>
      <c r="E2" s="503"/>
      <c r="F2" s="503"/>
      <c r="G2" s="503"/>
      <c r="H2" s="503"/>
      <c r="I2" s="503"/>
      <c r="J2" s="503"/>
      <c r="K2" s="503"/>
      <c r="L2" s="503"/>
      <c r="M2" s="503"/>
    </row>
    <row r="3" spans="1:48" s="88" customFormat="1" ht="16.5" customHeight="1">
      <c r="A3" s="496" t="s">
        <v>1217</v>
      </c>
      <c r="B3" s="496"/>
      <c r="C3" s="493" t="s">
        <v>2955</v>
      </c>
      <c r="D3" s="493"/>
      <c r="E3" s="493"/>
      <c r="F3" s="493"/>
      <c r="G3" s="493"/>
      <c r="H3" s="493"/>
      <c r="I3" s="493"/>
      <c r="J3" s="493"/>
      <c r="K3" s="493"/>
      <c r="L3" s="493"/>
      <c r="M3" s="493"/>
    </row>
    <row r="4" spans="1:48" s="88" customFormat="1" ht="16.5" customHeight="1">
      <c r="A4" s="496" t="s">
        <v>5786</v>
      </c>
      <c r="B4" s="496"/>
      <c r="C4" s="497" t="s">
        <v>2956</v>
      </c>
      <c r="D4" s="497"/>
      <c r="E4" s="497"/>
      <c r="F4" s="497"/>
      <c r="G4" s="497"/>
      <c r="H4" s="497"/>
      <c r="I4" s="497"/>
      <c r="J4" s="497"/>
      <c r="K4" s="497"/>
      <c r="L4" s="497"/>
      <c r="M4" s="497"/>
    </row>
    <row r="5" spans="1:48" s="88" customFormat="1" ht="16.5" customHeight="1">
      <c r="A5" s="496" t="s">
        <v>1220</v>
      </c>
      <c r="B5" s="496"/>
      <c r="C5" s="493" t="s">
        <v>2957</v>
      </c>
      <c r="D5" s="493"/>
      <c r="E5" s="493"/>
      <c r="F5" s="493"/>
      <c r="G5" s="493"/>
      <c r="H5" s="493"/>
      <c r="I5" s="493"/>
      <c r="J5" s="493"/>
      <c r="K5" s="493"/>
      <c r="L5" s="493"/>
      <c r="M5" s="493"/>
    </row>
    <row r="6" spans="1:48" s="88" customFormat="1" ht="16.5" customHeight="1">
      <c r="A6" s="496" t="s">
        <v>5785</v>
      </c>
      <c r="B6" s="496"/>
      <c r="C6" s="493" t="s">
        <v>2958</v>
      </c>
      <c r="D6" s="493"/>
      <c r="E6" s="493"/>
      <c r="F6" s="493"/>
      <c r="G6" s="493"/>
      <c r="H6" s="493"/>
      <c r="I6" s="493"/>
      <c r="J6" s="493"/>
      <c r="K6" s="493"/>
      <c r="L6" s="493"/>
      <c r="M6" s="493"/>
    </row>
    <row r="7" spans="1:48" s="88" customFormat="1" ht="16.5" customHeight="1">
      <c r="A7" s="89" t="s">
        <v>1223</v>
      </c>
      <c r="B7" s="92" t="s">
        <v>2835</v>
      </c>
      <c r="C7" s="493" t="s">
        <v>2959</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38.25" customHeight="1">
      <c r="A11" s="89" t="s">
        <v>1229</v>
      </c>
      <c r="B11" s="493" t="s">
        <v>2960</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4"/>
      <c r="H15" s="4"/>
      <c r="I15" s="4"/>
      <c r="J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G16" s="4"/>
      <c r="H16" s="4"/>
      <c r="I16" s="4"/>
      <c r="J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1861</v>
      </c>
      <c r="C17" s="518"/>
      <c r="D17" s="4"/>
      <c r="E17" s="4"/>
      <c r="F17" s="4"/>
      <c r="G17" s="4"/>
      <c r="I17" s="4"/>
      <c r="J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1246</v>
      </c>
      <c r="C18" s="96" t="s">
        <v>1375</v>
      </c>
      <c r="D18" s="96" t="s">
        <v>1850</v>
      </c>
      <c r="E18" s="96" t="s">
        <v>1852</v>
      </c>
      <c r="F18" s="96" t="s">
        <v>1851</v>
      </c>
      <c r="G18" s="96" t="s">
        <v>1849</v>
      </c>
      <c r="H18" s="96" t="s">
        <v>1848</v>
      </c>
      <c r="I18" s="97" t="s">
        <v>1375</v>
      </c>
      <c r="J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51" t="s">
        <v>1607</v>
      </c>
      <c r="C19" s="106"/>
      <c r="D19" s="106" t="s">
        <v>1618</v>
      </c>
      <c r="E19" s="106" t="s">
        <v>1612</v>
      </c>
      <c r="F19" s="106" t="s">
        <v>1612</v>
      </c>
      <c r="G19" s="106" t="s">
        <v>1618</v>
      </c>
      <c r="H19" s="106" t="s">
        <v>1618</v>
      </c>
      <c r="I19" s="150"/>
      <c r="J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G20" s="4"/>
      <c r="H20" s="4"/>
      <c r="I20" s="4"/>
      <c r="J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4" t="s">
        <v>1431</v>
      </c>
      <c r="C21" s="104" t="s">
        <v>1238</v>
      </c>
      <c r="F21" s="4"/>
      <c r="G21" s="4"/>
      <c r="H21" s="4"/>
      <c r="I21" s="4"/>
      <c r="J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f>COLUMNS(B18:I19)</f>
        <v>8</v>
      </c>
      <c r="C22" s="108" t="s">
        <v>2961</v>
      </c>
      <c r="F22" s="4"/>
      <c r="G22" s="4"/>
      <c r="H22" s="4"/>
      <c r="I22" s="4"/>
      <c r="J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C23" s="93" t="s">
        <v>2962</v>
      </c>
      <c r="F23" s="4"/>
      <c r="G23" s="4"/>
      <c r="H23" s="4"/>
      <c r="I23" s="4"/>
      <c r="J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F24" s="4"/>
      <c r="G24" s="4"/>
      <c r="H24" s="4"/>
      <c r="I24" s="4"/>
      <c r="J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F25" s="4"/>
      <c r="G25" s="4"/>
      <c r="H25" s="4"/>
      <c r="I25" s="4"/>
      <c r="J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F26" s="4"/>
      <c r="G26" s="4"/>
      <c r="H26" s="4"/>
      <c r="I26" s="4"/>
      <c r="J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F27" s="4"/>
      <c r="G27" s="4"/>
      <c r="H27" s="4"/>
      <c r="I27" s="4"/>
      <c r="J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F28" s="4"/>
      <c r="G28" s="4"/>
      <c r="H28" s="4"/>
      <c r="I28" s="4"/>
      <c r="J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F29" s="4"/>
      <c r="G29" s="4"/>
      <c r="H29" s="4"/>
      <c r="I29" s="4"/>
      <c r="J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291</v>
      </c>
      <c r="B100" s="498"/>
      <c r="C100" s="499"/>
      <c r="D100" s="87"/>
      <c r="E100" s="500" t="str">
        <f>HYPERLINK("#目录!A167","跳转回到目录页")</f>
        <v>跳转回到目录页</v>
      </c>
      <c r="F100" s="501"/>
    </row>
    <row r="101" spans="1:13" s="88" customFormat="1" ht="26.25" customHeight="1">
      <c r="A101" s="502" t="s">
        <v>1216</v>
      </c>
      <c r="B101" s="502"/>
      <c r="C101" s="503" t="s">
        <v>292</v>
      </c>
      <c r="D101" s="503"/>
      <c r="E101" s="503"/>
      <c r="F101" s="503"/>
      <c r="G101" s="503"/>
      <c r="H101" s="503"/>
      <c r="I101" s="503"/>
      <c r="J101" s="503"/>
      <c r="K101" s="503"/>
      <c r="L101" s="503"/>
      <c r="M101" s="503"/>
    </row>
    <row r="102" spans="1:13" s="88" customFormat="1" ht="16.5" customHeight="1">
      <c r="A102" s="496" t="s">
        <v>1217</v>
      </c>
      <c r="B102" s="496"/>
      <c r="C102" s="493" t="s">
        <v>2963</v>
      </c>
      <c r="D102" s="493"/>
      <c r="E102" s="493"/>
      <c r="F102" s="493"/>
      <c r="G102" s="493"/>
      <c r="H102" s="493"/>
      <c r="I102" s="493"/>
      <c r="J102" s="493"/>
      <c r="K102" s="493"/>
      <c r="L102" s="493"/>
      <c r="M102" s="493"/>
    </row>
    <row r="103" spans="1:13" s="88" customFormat="1" ht="16.5" customHeight="1">
      <c r="A103" s="496" t="s">
        <v>5786</v>
      </c>
      <c r="B103" s="496"/>
      <c r="C103" s="497" t="s">
        <v>2964</v>
      </c>
      <c r="D103" s="497"/>
      <c r="E103" s="497"/>
      <c r="F103" s="497"/>
      <c r="G103" s="497"/>
      <c r="H103" s="497"/>
      <c r="I103" s="497"/>
      <c r="J103" s="497"/>
      <c r="K103" s="497"/>
      <c r="L103" s="497"/>
      <c r="M103" s="497"/>
    </row>
    <row r="104" spans="1:13" s="88" customFormat="1" ht="16.5" customHeight="1">
      <c r="A104" s="496" t="s">
        <v>1220</v>
      </c>
      <c r="B104" s="496"/>
      <c r="C104" s="493" t="s">
        <v>2965</v>
      </c>
      <c r="D104" s="493"/>
      <c r="E104" s="493"/>
      <c r="F104" s="493"/>
      <c r="G104" s="493"/>
      <c r="H104" s="493"/>
      <c r="I104" s="493"/>
      <c r="J104" s="493"/>
      <c r="K104" s="493"/>
      <c r="L104" s="493"/>
      <c r="M104" s="493"/>
    </row>
    <row r="105" spans="1:13" s="88" customFormat="1" ht="16.5" customHeight="1">
      <c r="A105" s="496" t="s">
        <v>5785</v>
      </c>
      <c r="B105" s="496"/>
      <c r="C105" s="493" t="s">
        <v>2966</v>
      </c>
      <c r="D105" s="493"/>
      <c r="E105" s="493"/>
      <c r="F105" s="493"/>
      <c r="G105" s="493"/>
      <c r="H105" s="493"/>
      <c r="I105" s="493"/>
      <c r="J105" s="493"/>
      <c r="K105" s="493"/>
      <c r="L105" s="493"/>
      <c r="M105" s="493"/>
    </row>
    <row r="106" spans="1:13" s="88" customFormat="1" ht="16.5" customHeight="1">
      <c r="A106" s="89" t="s">
        <v>1223</v>
      </c>
      <c r="B106" s="92" t="s">
        <v>2568</v>
      </c>
      <c r="C106" s="493" t="s">
        <v>2967</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493"/>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9" s="93" customFormat="1" ht="16.5" customHeight="1">
      <c r="A113" s="94" t="s">
        <v>1232</v>
      </c>
      <c r="B113" s="93" t="s">
        <v>1773</v>
      </c>
    </row>
    <row r="114" spans="1:9" ht="16.5" customHeight="1">
      <c r="B114" s="93"/>
      <c r="C114" s="93"/>
      <c r="D114" s="93"/>
      <c r="E114" s="93"/>
      <c r="F114" s="93"/>
      <c r="G114" s="93"/>
      <c r="H114" s="93"/>
      <c r="I114" s="93"/>
    </row>
    <row r="115" spans="1:9" ht="16.5" customHeight="1">
      <c r="B115" s="93"/>
      <c r="C115" s="93"/>
      <c r="D115" s="93"/>
      <c r="E115" s="93"/>
      <c r="F115" s="93"/>
      <c r="G115" s="93"/>
      <c r="H115" s="93"/>
      <c r="I115" s="93"/>
    </row>
    <row r="116" spans="1:9" ht="16.5" customHeight="1">
      <c r="B116" s="565" t="s">
        <v>1861</v>
      </c>
      <c r="C116" s="565"/>
      <c r="D116" s="93"/>
      <c r="E116" s="93"/>
      <c r="F116" s="93"/>
      <c r="G116" s="93"/>
      <c r="H116" s="93"/>
      <c r="I116" s="93"/>
    </row>
    <row r="117" spans="1:9" ht="16.5" customHeight="1">
      <c r="B117" s="95" t="s">
        <v>1246</v>
      </c>
      <c r="C117" s="97" t="s">
        <v>1607</v>
      </c>
      <c r="D117" s="93"/>
      <c r="E117" s="94" t="s">
        <v>1431</v>
      </c>
      <c r="F117" s="104" t="s">
        <v>1238</v>
      </c>
      <c r="G117" s="93"/>
      <c r="H117" s="93"/>
      <c r="I117" s="93"/>
    </row>
    <row r="118" spans="1:9" ht="16.5" customHeight="1">
      <c r="B118" s="111" t="s">
        <v>1375</v>
      </c>
      <c r="C118" s="112"/>
      <c r="D118" s="93"/>
      <c r="E118" s="93">
        <f>ROWS(B117:C124)</f>
        <v>8</v>
      </c>
      <c r="F118" s="108" t="s">
        <v>2968</v>
      </c>
      <c r="G118" s="93"/>
      <c r="H118" s="93"/>
      <c r="I118" s="93"/>
    </row>
    <row r="119" spans="1:9" ht="16.5" customHeight="1">
      <c r="B119" s="215" t="s">
        <v>1850</v>
      </c>
      <c r="C119" s="245" t="s">
        <v>1618</v>
      </c>
      <c r="D119" s="93"/>
      <c r="E119" s="93"/>
      <c r="F119" s="93" t="s">
        <v>2969</v>
      </c>
      <c r="G119" s="93"/>
      <c r="H119" s="93"/>
      <c r="I119" s="93"/>
    </row>
    <row r="120" spans="1:9" ht="16.5" customHeight="1">
      <c r="B120" s="215" t="s">
        <v>1852</v>
      </c>
      <c r="C120" s="245" t="s">
        <v>1612</v>
      </c>
      <c r="D120" s="93"/>
      <c r="E120" s="93"/>
      <c r="F120" s="93"/>
      <c r="G120" s="93"/>
      <c r="H120" s="93"/>
      <c r="I120" s="93"/>
    </row>
    <row r="121" spans="1:9" ht="16.5" customHeight="1">
      <c r="B121" s="215" t="s">
        <v>1851</v>
      </c>
      <c r="C121" s="245" t="s">
        <v>1612</v>
      </c>
      <c r="D121" s="93"/>
      <c r="E121" s="93"/>
      <c r="F121" s="93"/>
      <c r="G121" s="93"/>
      <c r="H121" s="93"/>
      <c r="I121" s="93"/>
    </row>
    <row r="122" spans="1:9" ht="16.5" customHeight="1">
      <c r="B122" s="215" t="s">
        <v>1849</v>
      </c>
      <c r="C122" s="245" t="s">
        <v>1618</v>
      </c>
      <c r="D122" s="93"/>
      <c r="E122" s="93"/>
      <c r="F122" s="93"/>
      <c r="G122" s="93"/>
      <c r="H122" s="93"/>
      <c r="I122" s="93"/>
    </row>
    <row r="123" spans="1:9" ht="16.5" customHeight="1">
      <c r="B123" s="215" t="s">
        <v>1848</v>
      </c>
      <c r="C123" s="245" t="s">
        <v>1618</v>
      </c>
      <c r="D123" s="93"/>
      <c r="E123" s="93"/>
      <c r="F123" s="93"/>
      <c r="G123" s="93"/>
      <c r="H123" s="93"/>
      <c r="I123" s="93"/>
    </row>
    <row r="124" spans="1:9" ht="16.5" customHeight="1">
      <c r="B124" s="151" t="s">
        <v>1375</v>
      </c>
      <c r="C124" s="150"/>
      <c r="D124" s="93"/>
      <c r="E124" s="93"/>
      <c r="F124" s="93"/>
      <c r="G124" s="93"/>
      <c r="H124" s="93"/>
      <c r="I124" s="93"/>
    </row>
    <row r="125" spans="1:9" ht="16.5" customHeight="1"/>
    <row r="200" spans="1:13" s="88" customFormat="1" ht="26.25" customHeight="1">
      <c r="A200" s="498" t="s">
        <v>293</v>
      </c>
      <c r="B200" s="498"/>
      <c r="C200" s="499"/>
      <c r="D200" s="87"/>
      <c r="E200" s="500" t="str">
        <f>HYPERLINK("#目录!A168","跳转回到目录页")</f>
        <v>跳转回到目录页</v>
      </c>
      <c r="F200" s="501"/>
    </row>
    <row r="201" spans="1:13" s="88" customFormat="1" ht="26.25" customHeight="1">
      <c r="A201" s="502" t="s">
        <v>1216</v>
      </c>
      <c r="B201" s="502"/>
      <c r="C201" s="503" t="s">
        <v>294</v>
      </c>
      <c r="D201" s="503"/>
      <c r="E201" s="503"/>
      <c r="F201" s="503"/>
      <c r="G201" s="503"/>
      <c r="H201" s="503"/>
      <c r="I201" s="503"/>
      <c r="J201" s="503"/>
      <c r="K201" s="503"/>
      <c r="L201" s="503"/>
      <c r="M201" s="503"/>
    </row>
    <row r="202" spans="1:13" s="88" customFormat="1" ht="16.5" customHeight="1">
      <c r="A202" s="496" t="s">
        <v>1217</v>
      </c>
      <c r="B202" s="496"/>
      <c r="C202" s="493" t="s">
        <v>2970</v>
      </c>
      <c r="D202" s="493"/>
      <c r="E202" s="493"/>
      <c r="F202" s="493"/>
      <c r="G202" s="493"/>
      <c r="H202" s="493"/>
      <c r="I202" s="493"/>
      <c r="J202" s="493"/>
      <c r="K202" s="493"/>
      <c r="L202" s="493"/>
      <c r="M202" s="493"/>
    </row>
    <row r="203" spans="1:13" s="88" customFormat="1" ht="16.5" customHeight="1">
      <c r="A203" s="496" t="s">
        <v>5786</v>
      </c>
      <c r="B203" s="496"/>
      <c r="C203" s="497" t="s">
        <v>2971</v>
      </c>
      <c r="D203" s="497"/>
      <c r="E203" s="497"/>
      <c r="F203" s="497"/>
      <c r="G203" s="497"/>
      <c r="H203" s="497"/>
      <c r="I203" s="497"/>
      <c r="J203" s="497"/>
      <c r="K203" s="497"/>
      <c r="L203" s="497"/>
      <c r="M203" s="497"/>
    </row>
    <row r="204" spans="1:13" s="88" customFormat="1" ht="16.5" customHeight="1">
      <c r="A204" s="496" t="s">
        <v>1220</v>
      </c>
      <c r="B204" s="496"/>
      <c r="C204" s="493" t="s">
        <v>2972</v>
      </c>
      <c r="D204" s="493"/>
      <c r="E204" s="493"/>
      <c r="F204" s="493"/>
      <c r="G204" s="493"/>
      <c r="H204" s="493"/>
      <c r="I204" s="493"/>
      <c r="J204" s="493"/>
      <c r="K204" s="493"/>
      <c r="L204" s="493"/>
      <c r="M204" s="493"/>
    </row>
    <row r="205" spans="1:13" s="88" customFormat="1" ht="16.5" customHeight="1">
      <c r="A205" s="496" t="s">
        <v>5785</v>
      </c>
      <c r="B205" s="496"/>
      <c r="C205" s="493" t="s">
        <v>2973</v>
      </c>
      <c r="D205" s="493"/>
      <c r="E205" s="493"/>
      <c r="F205" s="493"/>
      <c r="G205" s="493"/>
      <c r="H205" s="493"/>
      <c r="I205" s="493"/>
      <c r="J205" s="493"/>
      <c r="K205" s="493"/>
      <c r="L205" s="493"/>
      <c r="M205" s="493"/>
    </row>
    <row r="206" spans="1:13" s="88" customFormat="1" ht="16.5" customHeight="1">
      <c r="A206" s="89" t="s">
        <v>1223</v>
      </c>
      <c r="B206" s="92" t="s">
        <v>2835</v>
      </c>
      <c r="C206" s="493" t="s">
        <v>2974</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493" t="s">
        <v>2975</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F214" s="94" t="s">
        <v>1431</v>
      </c>
      <c r="G214" s="104" t="s">
        <v>1238</v>
      </c>
    </row>
    <row r="215" spans="1:13" ht="16.5" customHeight="1">
      <c r="B215" s="248"/>
      <c r="C215" s="249"/>
      <c r="D215" s="250"/>
      <c r="F215" s="233">
        <f>AREAS(B215:D223)</f>
        <v>1</v>
      </c>
      <c r="G215" s="108" t="s">
        <v>2976</v>
      </c>
      <c r="K215" s="93" t="s">
        <v>2977</v>
      </c>
    </row>
    <row r="216" spans="1:13" ht="16.5" customHeight="1">
      <c r="B216" s="251"/>
      <c r="C216" s="252"/>
      <c r="D216" s="253"/>
      <c r="F216" s="233">
        <f>AREAS((B215:B218,C219,D220:D223))</f>
        <v>3</v>
      </c>
      <c r="G216" s="108" t="s">
        <v>2978</v>
      </c>
      <c r="K216" s="93" t="s">
        <v>2979</v>
      </c>
    </row>
    <row r="217" spans="1:13" ht="16.5" customHeight="1">
      <c r="B217" s="251"/>
      <c r="C217" s="252"/>
      <c r="D217" s="253"/>
      <c r="F217" s="233">
        <f>AREAS(B215:D223 C219)</f>
        <v>1</v>
      </c>
      <c r="G217" s="108" t="s">
        <v>2980</v>
      </c>
      <c r="K217" s="93" t="s">
        <v>2977</v>
      </c>
    </row>
    <row r="218" spans="1:13" ht="16.5" customHeight="1">
      <c r="B218" s="251"/>
      <c r="C218" s="252"/>
      <c r="D218" s="253"/>
      <c r="G218" s="18"/>
    </row>
    <row r="219" spans="1:13" ht="16.5" customHeight="1">
      <c r="B219" s="251"/>
      <c r="C219" s="252"/>
      <c r="D219" s="253"/>
    </row>
    <row r="220" spans="1:13" ht="16.5" customHeight="1">
      <c r="B220" s="251"/>
      <c r="C220" s="252"/>
      <c r="D220" s="253"/>
      <c r="G220" s="18"/>
    </row>
    <row r="221" spans="1:13" ht="16.5" customHeight="1">
      <c r="B221" s="251"/>
      <c r="C221" s="252"/>
      <c r="D221" s="253"/>
    </row>
    <row r="222" spans="1:13" ht="16.5" customHeight="1">
      <c r="B222" s="251"/>
      <c r="C222" s="252"/>
      <c r="D222" s="253"/>
    </row>
    <row r="223" spans="1:13" ht="16.5" customHeight="1">
      <c r="B223" s="254"/>
      <c r="C223" s="255"/>
      <c r="D223" s="256"/>
    </row>
    <row r="224" spans="1:13" ht="16.5" customHeight="1"/>
  </sheetData>
  <mergeCells count="56">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C17"/>
    <mergeCell ref="A100:C100"/>
    <mergeCell ref="E100:F100"/>
    <mergeCell ref="A101:B101"/>
    <mergeCell ref="C101:M101"/>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6:C116"/>
    <mergeCell ref="A200:C200"/>
    <mergeCell ref="E200:F200"/>
    <mergeCell ref="A201:B201"/>
    <mergeCell ref="C201:M201"/>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headerFooter scaleWithDoc="0"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AV2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299</v>
      </c>
      <c r="B1" s="498"/>
      <c r="C1" s="499"/>
      <c r="D1" s="87"/>
      <c r="E1" s="500" t="str">
        <f>HYPERLINK("#目录!A172","跳转回到目录页")</f>
        <v>跳转回到目录页</v>
      </c>
      <c r="F1" s="501"/>
    </row>
    <row r="2" spans="1:48" s="88" customFormat="1" ht="26.25" customHeight="1">
      <c r="A2" s="502" t="s">
        <v>1216</v>
      </c>
      <c r="B2" s="502"/>
      <c r="C2" s="503" t="s">
        <v>298</v>
      </c>
      <c r="D2" s="503"/>
      <c r="E2" s="503"/>
      <c r="F2" s="503"/>
      <c r="G2" s="503"/>
      <c r="H2" s="503"/>
      <c r="I2" s="503"/>
      <c r="J2" s="503"/>
      <c r="K2" s="503"/>
      <c r="L2" s="503"/>
      <c r="M2" s="503"/>
    </row>
    <row r="3" spans="1:48" s="88" customFormat="1" ht="27" customHeight="1">
      <c r="A3" s="496" t="s">
        <v>1217</v>
      </c>
      <c r="B3" s="496"/>
      <c r="C3" s="493" t="s">
        <v>2981</v>
      </c>
      <c r="D3" s="493"/>
      <c r="E3" s="493"/>
      <c r="F3" s="493"/>
      <c r="G3" s="493"/>
      <c r="H3" s="493"/>
      <c r="I3" s="493"/>
      <c r="J3" s="493"/>
      <c r="K3" s="493"/>
      <c r="L3" s="493"/>
      <c r="M3" s="493"/>
    </row>
    <row r="4" spans="1:48" s="88" customFormat="1" ht="16.5" customHeight="1">
      <c r="A4" s="496" t="s">
        <v>5786</v>
      </c>
      <c r="B4" s="496"/>
      <c r="C4" s="497" t="s">
        <v>2982</v>
      </c>
      <c r="D4" s="497"/>
      <c r="E4" s="497"/>
      <c r="F4" s="497"/>
      <c r="G4" s="497"/>
      <c r="H4" s="497"/>
      <c r="I4" s="497"/>
      <c r="J4" s="497"/>
      <c r="K4" s="497"/>
      <c r="L4" s="497"/>
      <c r="M4" s="497"/>
    </row>
    <row r="5" spans="1:48" s="88" customFormat="1" ht="16.5" customHeight="1">
      <c r="A5" s="496" t="s">
        <v>1220</v>
      </c>
      <c r="B5" s="496"/>
      <c r="C5" s="493" t="s">
        <v>2983</v>
      </c>
      <c r="D5" s="493"/>
      <c r="E5" s="493"/>
      <c r="F5" s="493"/>
      <c r="G5" s="493"/>
      <c r="H5" s="493"/>
      <c r="I5" s="493"/>
      <c r="J5" s="493"/>
      <c r="K5" s="493"/>
      <c r="L5" s="493"/>
      <c r="M5" s="493"/>
    </row>
    <row r="6" spans="1:48" s="88" customFormat="1" ht="16.5" customHeight="1">
      <c r="A6" s="496" t="s">
        <v>5785</v>
      </c>
      <c r="B6" s="496"/>
      <c r="C6" s="493" t="s">
        <v>2984</v>
      </c>
      <c r="D6" s="493"/>
      <c r="E6" s="493"/>
      <c r="F6" s="493"/>
      <c r="G6" s="493"/>
      <c r="H6" s="493"/>
      <c r="I6" s="493"/>
      <c r="J6" s="493"/>
      <c r="K6" s="493"/>
      <c r="L6" s="493"/>
      <c r="M6" s="493"/>
    </row>
    <row r="7" spans="1:48" s="88" customFormat="1" ht="35.25" customHeight="1">
      <c r="A7" s="89" t="s">
        <v>1223</v>
      </c>
      <c r="B7" s="509" t="s">
        <v>2985</v>
      </c>
      <c r="C7" s="493" t="s">
        <v>2986</v>
      </c>
      <c r="D7" s="493"/>
      <c r="E7" s="493"/>
      <c r="F7" s="493"/>
      <c r="G7" s="493"/>
      <c r="H7" s="493"/>
      <c r="I7" s="493"/>
      <c r="J7" s="493"/>
      <c r="K7" s="493"/>
      <c r="L7" s="493"/>
      <c r="M7" s="493"/>
    </row>
    <row r="8" spans="1:48" s="88" customFormat="1" ht="16.5" customHeight="1">
      <c r="A8" s="89"/>
      <c r="B8" s="509"/>
      <c r="C8" s="493" t="s">
        <v>2987</v>
      </c>
      <c r="D8" s="493"/>
      <c r="E8" s="493"/>
      <c r="F8" s="493"/>
      <c r="G8" s="493"/>
      <c r="H8" s="493"/>
      <c r="I8" s="493"/>
      <c r="J8" s="493"/>
      <c r="K8" s="493"/>
      <c r="L8" s="493"/>
      <c r="M8" s="493"/>
    </row>
    <row r="9" spans="1:48" s="88" customFormat="1" ht="24.75" customHeight="1">
      <c r="A9" s="89"/>
      <c r="B9" s="90" t="s">
        <v>2988</v>
      </c>
      <c r="C9" s="493" t="s">
        <v>2989</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51.75" customHeight="1">
      <c r="A11" s="89" t="s">
        <v>1229</v>
      </c>
      <c r="B11" s="493" t="s">
        <v>2990</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ht="16.5" customHeight="1">
      <c r="A16" s="93"/>
      <c r="B16" s="93"/>
      <c r="C16" s="93"/>
      <c r="D16" s="93"/>
      <c r="E16" s="93"/>
      <c r="F16" s="93"/>
      <c r="G16" s="93"/>
      <c r="H16" s="93"/>
      <c r="I16" s="93"/>
      <c r="J16" s="93"/>
      <c r="K16" s="93"/>
      <c r="L16" s="93"/>
    </row>
    <row r="17" spans="1:12" ht="16.5" customHeight="1">
      <c r="A17" s="93"/>
      <c r="B17" s="94" t="s">
        <v>2991</v>
      </c>
      <c r="C17" s="94" t="s">
        <v>1431</v>
      </c>
      <c r="D17" s="93"/>
      <c r="E17" s="218"/>
      <c r="F17" s="93"/>
      <c r="G17" s="93"/>
      <c r="H17" s="93"/>
      <c r="I17" s="104" t="s">
        <v>1238</v>
      </c>
      <c r="J17" s="93"/>
      <c r="K17" s="93"/>
      <c r="L17" s="93"/>
    </row>
    <row r="18" spans="1:12" ht="16.5" customHeight="1">
      <c r="A18" s="93"/>
      <c r="B18" s="116" t="s">
        <v>5787</v>
      </c>
      <c r="C18" s="218" t="str">
        <f>HYPERLINK("http://blog.sina.com.cn/excelbd",B18)</f>
        <v>的博客</v>
      </c>
      <c r="D18" s="93"/>
      <c r="E18" s="93"/>
      <c r="F18" s="93"/>
      <c r="G18" s="93"/>
      <c r="H18" s="93"/>
      <c r="I18" s="108" t="s">
        <v>2992</v>
      </c>
      <c r="J18" s="93"/>
      <c r="K18" s="93"/>
      <c r="L18" s="93"/>
    </row>
    <row r="19" spans="1:12" ht="16.5" customHeight="1">
      <c r="A19" s="93"/>
      <c r="C19" s="93"/>
      <c r="D19" s="93"/>
      <c r="E19" s="93"/>
      <c r="F19" s="93"/>
      <c r="G19" s="93"/>
      <c r="H19" s="93"/>
      <c r="I19" s="93"/>
      <c r="J19" s="93"/>
      <c r="K19" s="93"/>
      <c r="L19" s="93"/>
    </row>
    <row r="20" spans="1:12" ht="16.5" customHeight="1">
      <c r="A20" s="93"/>
      <c r="B20" s="93" t="s">
        <v>2993</v>
      </c>
      <c r="C20" s="93"/>
      <c r="D20" s="93"/>
      <c r="E20" s="93"/>
      <c r="F20" s="93"/>
      <c r="G20" s="93"/>
      <c r="H20" s="93"/>
      <c r="I20" s="93"/>
      <c r="J20" s="93"/>
      <c r="K20" s="93"/>
      <c r="L20" s="93"/>
    </row>
    <row r="21" spans="1:12" ht="16.5" customHeight="1">
      <c r="A21" s="93"/>
      <c r="B21" s="94" t="s">
        <v>2994</v>
      </c>
      <c r="C21" s="246" t="str">
        <f>HYPERLINK("#"&amp;B21&amp;"!A172","跳转至目录")</f>
        <v>跳转至目录</v>
      </c>
      <c r="D21" s="93" t="s">
        <v>2995</v>
      </c>
      <c r="F21" s="93"/>
      <c r="G21" s="93"/>
      <c r="H21" s="93"/>
      <c r="I21" s="108" t="s">
        <v>2996</v>
      </c>
      <c r="J21" s="93"/>
      <c r="K21" s="93"/>
      <c r="L21" s="93"/>
    </row>
    <row r="22" spans="1:12" ht="16.5" customHeight="1">
      <c r="A22" s="93"/>
      <c r="B22" s="94" t="s">
        <v>2997</v>
      </c>
      <c r="C22" s="246" t="str">
        <f>HYPERLINK("#A1",B22)</f>
        <v>本页页首</v>
      </c>
      <c r="D22" s="93" t="s">
        <v>2998</v>
      </c>
      <c r="E22" s="93"/>
      <c r="F22" s="93"/>
      <c r="G22" s="93"/>
      <c r="H22" s="93"/>
      <c r="I22" s="108" t="s">
        <v>2999</v>
      </c>
      <c r="J22" s="93"/>
      <c r="K22" s="93"/>
      <c r="L22" s="93"/>
    </row>
    <row r="23" spans="1:12" ht="16.5" customHeight="1">
      <c r="A23" s="93"/>
      <c r="B23" s="93"/>
      <c r="C23" s="93"/>
      <c r="D23" s="93"/>
      <c r="E23" s="93"/>
      <c r="F23" s="93"/>
      <c r="G23" s="93"/>
      <c r="H23" s="93"/>
      <c r="I23" s="93" t="s">
        <v>3000</v>
      </c>
      <c r="J23" s="93"/>
      <c r="K23" s="93"/>
      <c r="L23" s="93"/>
    </row>
    <row r="24" spans="1:12">
      <c r="A24" s="93"/>
      <c r="B24" s="93"/>
      <c r="C24" s="93"/>
      <c r="D24" s="93"/>
      <c r="E24" s="93"/>
      <c r="F24" s="93"/>
      <c r="G24" s="93"/>
      <c r="H24" s="93"/>
      <c r="I24" s="93"/>
      <c r="J24" s="93"/>
      <c r="K24" s="93"/>
      <c r="L24" s="93"/>
    </row>
    <row r="25" spans="1:12">
      <c r="A25" s="93"/>
      <c r="B25" s="93" t="s">
        <v>3001</v>
      </c>
      <c r="C25" s="93" t="s">
        <v>3002</v>
      </c>
      <c r="D25" s="93"/>
      <c r="E25" s="93"/>
      <c r="F25" s="93"/>
      <c r="G25" s="93"/>
      <c r="H25" s="93"/>
      <c r="I25" s="93"/>
      <c r="J25" s="93"/>
      <c r="K25" s="93"/>
      <c r="L25" s="93"/>
    </row>
    <row r="26" spans="1:12">
      <c r="A26" s="93"/>
      <c r="B26" s="94" t="s">
        <v>3003</v>
      </c>
      <c r="C26" s="94" t="s">
        <v>3004</v>
      </c>
      <c r="D26" s="94" t="s">
        <v>3005</v>
      </c>
      <c r="E26" s="93"/>
      <c r="F26" s="93"/>
      <c r="G26" s="93"/>
      <c r="H26" s="93"/>
      <c r="I26" s="93"/>
      <c r="J26" s="93"/>
      <c r="K26" s="93"/>
      <c r="L26" s="93"/>
    </row>
    <row r="27" spans="1:12">
      <c r="B27" s="93" t="s">
        <v>3006</v>
      </c>
      <c r="C27" s="94" t="s">
        <v>3007</v>
      </c>
      <c r="D27" s="247" t="str">
        <f>HYPERLINK(B27,C27)</f>
        <v>A</v>
      </c>
      <c r="I27" s="108" t="s">
        <v>3008</v>
      </c>
    </row>
    <row r="28" spans="1:12">
      <c r="B28" s="93" t="s">
        <v>3009</v>
      </c>
      <c r="C28" s="94" t="s">
        <v>3010</v>
      </c>
      <c r="D28" s="246" t="str">
        <f>HYPERLINK(B28,C28)</f>
        <v>函数大全</v>
      </c>
      <c r="I28" s="108" t="s">
        <v>3011</v>
      </c>
    </row>
    <row r="29" spans="1:12">
      <c r="C29" s="86"/>
      <c r="D29" s="86"/>
    </row>
  </sheetData>
  <mergeCells count="19">
    <mergeCell ref="A1:C1"/>
    <mergeCell ref="E1:F1"/>
    <mergeCell ref="A2:B2"/>
    <mergeCell ref="C2:M2"/>
    <mergeCell ref="A3:B3"/>
    <mergeCell ref="C3:M3"/>
    <mergeCell ref="B12:L12"/>
    <mergeCell ref="B7:B8"/>
    <mergeCell ref="A4:B4"/>
    <mergeCell ref="C4:M4"/>
    <mergeCell ref="A5:B5"/>
    <mergeCell ref="C5:M5"/>
    <mergeCell ref="A6:B6"/>
    <mergeCell ref="C6:M6"/>
    <mergeCell ref="C7:M7"/>
    <mergeCell ref="C8:M8"/>
    <mergeCell ref="C9:M9"/>
    <mergeCell ref="B10:M10"/>
    <mergeCell ref="B11:M11"/>
  </mergeCells>
  <phoneticPr fontId="2" type="noConversion"/>
  <pageMargins left="0.75" right="0.75" top="1" bottom="1" header="0.5" footer="0.5"/>
  <pageSetup paperSize="9" orientation="portrait" horizontalDpi="0" verticalDpi="0"/>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V47"/>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296</v>
      </c>
      <c r="B1" s="498"/>
      <c r="C1" s="499"/>
      <c r="D1" s="87"/>
      <c r="E1" s="500" t="str">
        <f>HYPERLINK("#目录!A170","跳转回到目录页")</f>
        <v>跳转回到目录页</v>
      </c>
      <c r="F1" s="501"/>
    </row>
    <row r="2" spans="1:48" s="88" customFormat="1" ht="26.25" customHeight="1">
      <c r="A2" s="502" t="s">
        <v>1216</v>
      </c>
      <c r="B2" s="502"/>
      <c r="C2" s="503" t="s">
        <v>297</v>
      </c>
      <c r="D2" s="503"/>
      <c r="E2" s="503"/>
      <c r="F2" s="503"/>
      <c r="G2" s="503"/>
      <c r="H2" s="503"/>
      <c r="I2" s="503"/>
      <c r="J2" s="503"/>
      <c r="K2" s="503"/>
      <c r="L2" s="503"/>
      <c r="M2" s="503"/>
    </row>
    <row r="3" spans="1:48" s="88" customFormat="1" ht="16.5" customHeight="1">
      <c r="A3" s="496" t="s">
        <v>1217</v>
      </c>
      <c r="B3" s="496"/>
      <c r="C3" s="493" t="s">
        <v>3012</v>
      </c>
      <c r="D3" s="493"/>
      <c r="E3" s="493"/>
      <c r="F3" s="493"/>
      <c r="G3" s="493"/>
      <c r="H3" s="493"/>
      <c r="I3" s="493"/>
      <c r="J3" s="493"/>
      <c r="K3" s="493"/>
      <c r="L3" s="493"/>
      <c r="M3" s="493"/>
    </row>
    <row r="4" spans="1:48" s="88" customFormat="1" ht="16.5" customHeight="1">
      <c r="A4" s="496" t="s">
        <v>5786</v>
      </c>
      <c r="B4" s="496"/>
      <c r="C4" s="497" t="s">
        <v>3013</v>
      </c>
      <c r="D4" s="497"/>
      <c r="E4" s="497"/>
      <c r="F4" s="497"/>
      <c r="G4" s="497"/>
      <c r="H4" s="497"/>
      <c r="I4" s="497"/>
      <c r="J4" s="497"/>
      <c r="K4" s="497"/>
      <c r="L4" s="497"/>
      <c r="M4" s="497"/>
    </row>
    <row r="5" spans="1:48" s="88" customFormat="1" ht="16.5" customHeight="1">
      <c r="A5" s="496" t="s">
        <v>1220</v>
      </c>
      <c r="B5" s="496"/>
      <c r="C5" s="493" t="s">
        <v>3014</v>
      </c>
      <c r="D5" s="493"/>
      <c r="E5" s="493"/>
      <c r="F5" s="493"/>
      <c r="G5" s="493"/>
      <c r="H5" s="493"/>
      <c r="I5" s="493"/>
      <c r="J5" s="493"/>
      <c r="K5" s="493"/>
      <c r="L5" s="493"/>
      <c r="M5" s="493"/>
    </row>
    <row r="6" spans="1:48" s="88" customFormat="1" ht="16.5" customHeight="1">
      <c r="A6" s="496" t="s">
        <v>5785</v>
      </c>
      <c r="B6" s="496"/>
      <c r="C6" s="493" t="s">
        <v>3015</v>
      </c>
      <c r="D6" s="493"/>
      <c r="E6" s="493"/>
      <c r="F6" s="493"/>
      <c r="G6" s="493"/>
      <c r="H6" s="493"/>
      <c r="I6" s="493"/>
      <c r="J6" s="493"/>
      <c r="K6" s="493"/>
      <c r="L6" s="493"/>
      <c r="M6" s="493"/>
    </row>
    <row r="7" spans="1:48" s="88" customFormat="1" ht="24.75" customHeight="1">
      <c r="A7" s="89" t="s">
        <v>1223</v>
      </c>
      <c r="B7" s="92" t="s">
        <v>2568</v>
      </c>
      <c r="C7" s="493" t="s">
        <v>3016</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24.75" customHeight="1">
      <c r="A10" s="89" t="s">
        <v>1228</v>
      </c>
      <c r="B10" s="493" t="s">
        <v>3017</v>
      </c>
      <c r="C10" s="493"/>
      <c r="D10" s="493"/>
      <c r="E10" s="493"/>
      <c r="F10" s="493"/>
      <c r="G10" s="493"/>
      <c r="H10" s="493"/>
      <c r="I10" s="493"/>
      <c r="J10" s="493"/>
      <c r="K10" s="493"/>
      <c r="L10" s="493"/>
      <c r="M10" s="493"/>
    </row>
    <row r="11" spans="1:48" ht="16.5" customHeight="1">
      <c r="A11" s="89" t="s">
        <v>1229</v>
      </c>
      <c r="B11" s="493"/>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E15" s="4"/>
      <c r="F15" s="4"/>
      <c r="G15" s="4"/>
      <c r="H15" s="4"/>
      <c r="I15" s="4"/>
      <c r="J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E16" s="94" t="s">
        <v>1431</v>
      </c>
      <c r="F16" s="4"/>
      <c r="G16" s="4"/>
      <c r="H16" s="4"/>
      <c r="I16" s="4"/>
      <c r="J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65" t="s">
        <v>1861</v>
      </c>
      <c r="C17" s="565"/>
      <c r="E17" s="518" t="s">
        <v>1861</v>
      </c>
      <c r="F17" s="518"/>
      <c r="G17" s="4"/>
      <c r="H17" s="4"/>
      <c r="I17" s="4"/>
      <c r="J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1246</v>
      </c>
      <c r="C18" s="97" t="s">
        <v>1607</v>
      </c>
      <c r="D18" s="4"/>
      <c r="E18" s="95" t="str">
        <f t="array" ref="E18:L19">TRANSPOSE(B18:C25)</f>
        <v>姓名</v>
      </c>
      <c r="F18" s="96" t="str">
        <v>……</v>
      </c>
      <c r="G18" s="96" t="str">
        <v>刘晶晶</v>
      </c>
      <c r="H18" s="96" t="str">
        <v>孙建桃</v>
      </c>
      <c r="I18" s="96" t="str">
        <v>王建军</v>
      </c>
      <c r="J18" s="96" t="str">
        <v>王京京</v>
      </c>
      <c r="K18" s="96" t="str">
        <v>肖慧琴</v>
      </c>
      <c r="L18" s="97" t="str">
        <v>……</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1375</v>
      </c>
      <c r="C19" s="112"/>
      <c r="D19" s="4"/>
      <c r="E19" s="151" t="str">
        <v>性别</v>
      </c>
      <c r="F19" s="106">
        <v>0</v>
      </c>
      <c r="G19" s="106" t="str">
        <v>女</v>
      </c>
      <c r="H19" s="106" t="str">
        <v>男</v>
      </c>
      <c r="I19" s="106" t="str">
        <v>男</v>
      </c>
      <c r="J19" s="106" t="str">
        <v>女</v>
      </c>
      <c r="K19" s="106" t="str">
        <v>女</v>
      </c>
      <c r="L19" s="150">
        <v>0</v>
      </c>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215" t="s">
        <v>1850</v>
      </c>
      <c r="C20" s="245" t="s">
        <v>1618</v>
      </c>
      <c r="D20" s="4"/>
      <c r="E20" s="4"/>
      <c r="F20" s="4"/>
      <c r="G20" s="4"/>
      <c r="H20" s="4"/>
      <c r="I20" s="4"/>
      <c r="J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215" t="s">
        <v>1852</v>
      </c>
      <c r="C21" s="245" t="s">
        <v>1612</v>
      </c>
      <c r="D21" s="4"/>
      <c r="E21" s="104" t="s">
        <v>1238</v>
      </c>
      <c r="G21" s="4"/>
      <c r="H21" s="4"/>
      <c r="I21" s="4"/>
      <c r="J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215" t="s">
        <v>1851</v>
      </c>
      <c r="C22" s="245" t="s">
        <v>1612</v>
      </c>
      <c r="D22" s="4"/>
      <c r="E22" s="108" t="s">
        <v>3018</v>
      </c>
      <c r="F22" s="4"/>
      <c r="G22" s="4"/>
      <c r="H22" s="4"/>
      <c r="I22" s="4"/>
      <c r="J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215" t="s">
        <v>1849</v>
      </c>
      <c r="C23" s="245" t="s">
        <v>1618</v>
      </c>
      <c r="D23" s="4"/>
      <c r="E23" s="509" t="s">
        <v>1646</v>
      </c>
      <c r="F23" s="509"/>
      <c r="G23" s="509"/>
      <c r="H23" s="509"/>
      <c r="I23" s="509"/>
      <c r="J23" s="509"/>
      <c r="K23" s="509"/>
      <c r="L23" s="509"/>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215" t="s">
        <v>1848</v>
      </c>
      <c r="C24" s="245" t="s">
        <v>1618</v>
      </c>
      <c r="D24" s="4"/>
      <c r="E24" s="509"/>
      <c r="F24" s="509"/>
      <c r="G24" s="509"/>
      <c r="H24" s="509"/>
      <c r="I24" s="509"/>
      <c r="J24" s="509"/>
      <c r="K24" s="509"/>
      <c r="L24" s="509"/>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51" t="s">
        <v>1375</v>
      </c>
      <c r="C25" s="150"/>
      <c r="D25" s="4"/>
      <c r="E25" s="4"/>
      <c r="F25" s="4"/>
      <c r="G25" s="4"/>
      <c r="H25" s="4"/>
      <c r="I25" s="4"/>
      <c r="J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D26" s="4"/>
      <c r="E26" s="4"/>
      <c r="F26" s="4"/>
      <c r="G26" s="4"/>
      <c r="H26" s="4"/>
      <c r="I26" s="4"/>
      <c r="J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E27" s="4"/>
      <c r="F27" s="4"/>
      <c r="G27" s="4"/>
      <c r="H27" s="4"/>
      <c r="I27" s="4"/>
      <c r="J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E28" s="4"/>
      <c r="F28" s="4"/>
      <c r="G28" s="4"/>
      <c r="H28" s="4"/>
      <c r="I28" s="4"/>
      <c r="J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sheetData>
  <mergeCells count="21">
    <mergeCell ref="A1:C1"/>
    <mergeCell ref="E1:F1"/>
    <mergeCell ref="A2:B2"/>
    <mergeCell ref="C2:M2"/>
    <mergeCell ref="A3:B3"/>
    <mergeCell ref="C3:M3"/>
    <mergeCell ref="A4:B4"/>
    <mergeCell ref="C4:M4"/>
    <mergeCell ref="A5:B5"/>
    <mergeCell ref="C5:M5"/>
    <mergeCell ref="A6:B6"/>
    <mergeCell ref="C6:M6"/>
    <mergeCell ref="B17:C17"/>
    <mergeCell ref="E17:F17"/>
    <mergeCell ref="E23:L24"/>
    <mergeCell ref="C7:M7"/>
    <mergeCell ref="C8:M8"/>
    <mergeCell ref="C9:M9"/>
    <mergeCell ref="B10:M10"/>
    <mergeCell ref="B11:M11"/>
    <mergeCell ref="B12:L12"/>
  </mergeCells>
  <phoneticPr fontId="2" type="noConversion"/>
  <pageMargins left="0.75" right="0.75" top="1" bottom="1" header="0.5" footer="0.5"/>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V41"/>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301</v>
      </c>
      <c r="B1" s="498"/>
      <c r="C1" s="499"/>
      <c r="D1" s="87"/>
      <c r="E1" s="500" t="str">
        <f>HYPERLINK("#目录!A174","跳转回到目录页")</f>
        <v>跳转回到目录页</v>
      </c>
      <c r="F1" s="501"/>
    </row>
    <row r="2" spans="1:48" s="88" customFormat="1" ht="26.25" customHeight="1">
      <c r="A2" s="502" t="s">
        <v>1216</v>
      </c>
      <c r="B2" s="502"/>
      <c r="C2" s="503" t="s">
        <v>302</v>
      </c>
      <c r="D2" s="503"/>
      <c r="E2" s="503"/>
      <c r="F2" s="503"/>
      <c r="G2" s="503"/>
      <c r="H2" s="503"/>
      <c r="I2" s="503"/>
      <c r="J2" s="503"/>
      <c r="K2" s="503"/>
      <c r="L2" s="503"/>
      <c r="M2" s="503"/>
    </row>
    <row r="3" spans="1:48" s="88" customFormat="1" ht="16.5" customHeight="1">
      <c r="A3" s="496" t="s">
        <v>1217</v>
      </c>
      <c r="B3" s="496"/>
      <c r="C3" s="493" t="s">
        <v>3019</v>
      </c>
      <c r="D3" s="493"/>
      <c r="E3" s="493"/>
      <c r="F3" s="493"/>
      <c r="G3" s="493"/>
      <c r="H3" s="493"/>
      <c r="I3" s="493"/>
      <c r="J3" s="493"/>
      <c r="K3" s="493"/>
      <c r="L3" s="493"/>
      <c r="M3" s="493"/>
    </row>
    <row r="4" spans="1:48" s="88" customFormat="1" ht="16.5" customHeight="1">
      <c r="A4" s="496" t="s">
        <v>5786</v>
      </c>
      <c r="B4" s="496"/>
      <c r="C4" s="497" t="s">
        <v>302</v>
      </c>
      <c r="D4" s="497"/>
      <c r="E4" s="497"/>
      <c r="F4" s="497"/>
      <c r="G4" s="497"/>
      <c r="H4" s="497"/>
      <c r="I4" s="497"/>
      <c r="J4" s="497"/>
      <c r="K4" s="497"/>
      <c r="L4" s="497"/>
      <c r="M4" s="497"/>
    </row>
    <row r="5" spans="1:48" s="88" customFormat="1" ht="16.5" customHeight="1">
      <c r="A5" s="496" t="s">
        <v>1220</v>
      </c>
      <c r="B5" s="496"/>
      <c r="C5" s="493" t="s">
        <v>3020</v>
      </c>
      <c r="D5" s="493"/>
      <c r="E5" s="493"/>
      <c r="F5" s="493"/>
      <c r="G5" s="493"/>
      <c r="H5" s="493"/>
      <c r="I5" s="493"/>
      <c r="J5" s="493"/>
      <c r="K5" s="493"/>
      <c r="L5" s="493"/>
      <c r="M5" s="493"/>
    </row>
    <row r="6" spans="1:48" s="88" customFormat="1" ht="16.5" customHeight="1">
      <c r="A6" s="496" t="s">
        <v>5785</v>
      </c>
      <c r="B6" s="496"/>
      <c r="C6" s="493" t="s">
        <v>3021</v>
      </c>
      <c r="D6" s="493"/>
      <c r="E6" s="493"/>
      <c r="F6" s="493"/>
      <c r="G6" s="493"/>
      <c r="H6" s="493"/>
      <c r="I6" s="493"/>
      <c r="J6" s="493"/>
      <c r="K6" s="493"/>
      <c r="L6" s="493"/>
      <c r="M6" s="493"/>
    </row>
    <row r="7" spans="1:48" s="88" customFormat="1" ht="16.5" customHeight="1">
      <c r="A7" s="89" t="s">
        <v>1223</v>
      </c>
      <c r="B7" s="92" t="s">
        <v>3022</v>
      </c>
      <c r="C7" s="493" t="s">
        <v>3023</v>
      </c>
      <c r="D7" s="493"/>
      <c r="E7" s="493"/>
      <c r="F7" s="493"/>
      <c r="G7" s="493"/>
      <c r="H7" s="493"/>
      <c r="I7" s="493"/>
      <c r="J7" s="493"/>
      <c r="K7" s="493"/>
      <c r="L7" s="493"/>
      <c r="M7" s="493"/>
    </row>
    <row r="8" spans="1:48" s="88" customFormat="1" ht="16.5" customHeight="1">
      <c r="A8" s="89"/>
      <c r="B8" s="92" t="s">
        <v>3024</v>
      </c>
      <c r="C8" s="493" t="s">
        <v>3025</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3026</v>
      </c>
      <c r="C10" s="493"/>
      <c r="D10" s="493"/>
      <c r="E10" s="493"/>
      <c r="F10" s="493"/>
      <c r="G10" s="493"/>
      <c r="H10" s="493"/>
      <c r="I10" s="493"/>
      <c r="J10" s="493"/>
      <c r="K10" s="493"/>
      <c r="L10" s="493"/>
      <c r="M10" s="493"/>
    </row>
    <row r="11" spans="1:48" ht="64.5" customHeight="1">
      <c r="A11" s="89" t="s">
        <v>1229</v>
      </c>
      <c r="B11" s="493" t="s">
        <v>3027</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F15" s="219"/>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3" t="s">
        <v>3028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A17" s="9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A27" s="9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2:48" s="93" customFormat="1" ht="16.5" customHeight="1">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2:48" s="93" customFormat="1" ht="16.5" customHeight="1">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2:48" s="93" customFormat="1" ht="16.5" customHeight="1">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2:48" s="93" customFormat="1" ht="16.5" customHeight="1">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2:48" s="93" customFormat="1" ht="16.5" customHeight="1">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2:48" s="93" customFormat="1" ht="16.5" customHeight="1">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2:48" s="93" customFormat="1" ht="16.5" customHeight="1">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2: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2: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sheetData>
  <mergeCells count="18">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s>
  <phoneticPr fontId="2" type="noConversion"/>
  <pageMargins left="0.75" right="0.75" top="1" bottom="1" header="0.5" footer="0.5"/>
  <headerFooter scaleWithDoc="0"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V125"/>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305</v>
      </c>
      <c r="B1" s="498"/>
      <c r="C1" s="499"/>
      <c r="D1" s="87"/>
      <c r="E1" s="500" t="str">
        <f>HYPERLINK("#目录!A177","跳转回到目录页")</f>
        <v>跳转回到目录页</v>
      </c>
      <c r="F1" s="501"/>
    </row>
    <row r="2" spans="1:48" s="88" customFormat="1" ht="26.25" customHeight="1">
      <c r="A2" s="502" t="s">
        <v>1216</v>
      </c>
      <c r="B2" s="502"/>
      <c r="C2" s="503" t="s">
        <v>3029</v>
      </c>
      <c r="D2" s="503"/>
      <c r="E2" s="503"/>
      <c r="F2" s="503"/>
      <c r="G2" s="503"/>
      <c r="H2" s="503"/>
      <c r="I2" s="503"/>
      <c r="J2" s="503"/>
      <c r="K2" s="503"/>
      <c r="L2" s="503"/>
      <c r="M2" s="503"/>
    </row>
    <row r="3" spans="1:48" s="88" customFormat="1" ht="16.5" customHeight="1">
      <c r="A3" s="496" t="s">
        <v>1217</v>
      </c>
      <c r="B3" s="496"/>
      <c r="C3" s="493" t="s">
        <v>3030</v>
      </c>
      <c r="D3" s="493"/>
      <c r="E3" s="493"/>
      <c r="F3" s="493"/>
      <c r="G3" s="493"/>
      <c r="H3" s="493"/>
      <c r="I3" s="493"/>
      <c r="J3" s="493"/>
      <c r="K3" s="493"/>
      <c r="L3" s="493"/>
      <c r="M3" s="493"/>
    </row>
    <row r="4" spans="1:48" s="88" customFormat="1" ht="16.5" customHeight="1">
      <c r="A4" s="496" t="s">
        <v>5786</v>
      </c>
      <c r="B4" s="496"/>
      <c r="C4" s="497" t="s">
        <v>3031</v>
      </c>
      <c r="D4" s="497"/>
      <c r="E4" s="497"/>
      <c r="F4" s="497"/>
      <c r="G4" s="497"/>
      <c r="H4" s="497"/>
      <c r="I4" s="497"/>
      <c r="J4" s="497"/>
      <c r="K4" s="497"/>
      <c r="L4" s="497"/>
      <c r="M4" s="497"/>
    </row>
    <row r="5" spans="1:48" s="88" customFormat="1" ht="16.5" customHeight="1">
      <c r="A5" s="496" t="s">
        <v>1220</v>
      </c>
      <c r="B5" s="496"/>
      <c r="C5" s="493" t="s">
        <v>3032</v>
      </c>
      <c r="D5" s="493"/>
      <c r="E5" s="493"/>
      <c r="F5" s="493"/>
      <c r="G5" s="493"/>
      <c r="H5" s="493"/>
      <c r="I5" s="493"/>
      <c r="J5" s="493"/>
      <c r="K5" s="493"/>
      <c r="L5" s="493"/>
      <c r="M5" s="493"/>
    </row>
    <row r="6" spans="1:48" s="88" customFormat="1" ht="16.5" customHeight="1">
      <c r="A6" s="496" t="s">
        <v>5785</v>
      </c>
      <c r="B6" s="496"/>
      <c r="C6" s="493" t="s">
        <v>3033</v>
      </c>
      <c r="D6" s="493"/>
      <c r="E6" s="493"/>
      <c r="F6" s="493"/>
      <c r="G6" s="493"/>
      <c r="H6" s="493"/>
      <c r="I6" s="493"/>
      <c r="J6" s="493"/>
      <c r="K6" s="493"/>
      <c r="L6" s="493"/>
      <c r="M6" s="493"/>
    </row>
    <row r="7" spans="1:48" s="88" customFormat="1" ht="16.5" customHeight="1">
      <c r="A7" s="89" t="s">
        <v>1223</v>
      </c>
      <c r="B7" s="92" t="s">
        <v>3034</v>
      </c>
      <c r="C7" s="493" t="s">
        <v>3035</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493"/>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3" t="s">
        <v>5789</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1431</v>
      </c>
      <c r="F17" s="104" t="s">
        <v>1238</v>
      </c>
      <c r="G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t="str">
        <f>ASC(B16)</f>
        <v>学习EXCEL函数,尽在函数宝典!</v>
      </c>
      <c r="D18" s="4"/>
      <c r="F18" s="108" t="s">
        <v>3036</v>
      </c>
      <c r="G18" s="18"/>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F19" s="158"/>
      <c r="G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t="str">
        <f>ASC("学习ＥＸＣＥＬ函数，尽在函数宝典！")</f>
        <v>学习EXCEL函数,尽在函数宝典!</v>
      </c>
      <c r="F20" s="108" t="s">
        <v>5790</v>
      </c>
      <c r="G20" s="18"/>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G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306</v>
      </c>
      <c r="B100" s="498"/>
      <c r="C100" s="499"/>
      <c r="D100" s="87"/>
      <c r="E100" s="500" t="str">
        <f>HYPERLINK("#目录!A178","跳转回到目录页")</f>
        <v>跳转回到目录页</v>
      </c>
      <c r="F100" s="501"/>
    </row>
    <row r="101" spans="1:13" s="88" customFormat="1" ht="26.25" customHeight="1">
      <c r="A101" s="502" t="s">
        <v>1216</v>
      </c>
      <c r="B101" s="502"/>
      <c r="C101" s="503" t="s">
        <v>307</v>
      </c>
      <c r="D101" s="503"/>
      <c r="E101" s="503"/>
      <c r="F101" s="503"/>
      <c r="G101" s="503"/>
      <c r="H101" s="503"/>
      <c r="I101" s="503"/>
      <c r="J101" s="503"/>
      <c r="K101" s="503"/>
      <c r="L101" s="503"/>
      <c r="M101" s="503"/>
    </row>
    <row r="102" spans="1:13" s="88" customFormat="1" ht="16.5" customHeight="1">
      <c r="A102" s="496" t="s">
        <v>1217</v>
      </c>
      <c r="B102" s="496"/>
      <c r="C102" s="493" t="s">
        <v>3037</v>
      </c>
      <c r="D102" s="493"/>
      <c r="E102" s="493"/>
      <c r="F102" s="493"/>
      <c r="G102" s="493"/>
      <c r="H102" s="493"/>
      <c r="I102" s="493"/>
      <c r="J102" s="493"/>
      <c r="K102" s="493"/>
      <c r="L102" s="493"/>
      <c r="M102" s="493"/>
    </row>
    <row r="103" spans="1:13" s="88" customFormat="1" ht="16.5" customHeight="1">
      <c r="A103" s="496" t="s">
        <v>5786</v>
      </c>
      <c r="B103" s="496"/>
      <c r="C103" s="497" t="s">
        <v>3038</v>
      </c>
      <c r="D103" s="497"/>
      <c r="E103" s="497"/>
      <c r="F103" s="497"/>
      <c r="G103" s="497"/>
      <c r="H103" s="497"/>
      <c r="I103" s="497"/>
      <c r="J103" s="497"/>
      <c r="K103" s="497"/>
      <c r="L103" s="497"/>
      <c r="M103" s="497"/>
    </row>
    <row r="104" spans="1:13" s="88" customFormat="1" ht="16.5" customHeight="1">
      <c r="A104" s="496" t="s">
        <v>1220</v>
      </c>
      <c r="B104" s="496"/>
      <c r="C104" s="493" t="s">
        <v>3039</v>
      </c>
      <c r="D104" s="493"/>
      <c r="E104" s="493"/>
      <c r="F104" s="493"/>
      <c r="G104" s="493"/>
      <c r="H104" s="493"/>
      <c r="I104" s="493"/>
      <c r="J104" s="493"/>
      <c r="K104" s="493"/>
      <c r="L104" s="493"/>
      <c r="M104" s="493"/>
    </row>
    <row r="105" spans="1:13" s="88" customFormat="1" ht="16.5" customHeight="1">
      <c r="A105" s="496" t="s">
        <v>5785</v>
      </c>
      <c r="B105" s="496"/>
      <c r="C105" s="493" t="s">
        <v>3040</v>
      </c>
      <c r="D105" s="493"/>
      <c r="E105" s="493"/>
      <c r="F105" s="493"/>
      <c r="G105" s="493"/>
      <c r="H105" s="493"/>
      <c r="I105" s="493"/>
      <c r="J105" s="493"/>
      <c r="K105" s="493"/>
      <c r="L105" s="493"/>
      <c r="M105" s="493"/>
    </row>
    <row r="106" spans="1:13" s="88" customFormat="1" ht="16.5" customHeight="1">
      <c r="A106" s="89" t="s">
        <v>1223</v>
      </c>
      <c r="B106" s="92" t="s">
        <v>3034</v>
      </c>
      <c r="C106" s="493" t="s">
        <v>3041</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24.75" customHeight="1">
      <c r="A110" s="89" t="s">
        <v>1229</v>
      </c>
      <c r="B110" s="493" t="s">
        <v>3042</v>
      </c>
      <c r="C110" s="493"/>
      <c r="D110" s="493"/>
      <c r="E110" s="493"/>
      <c r="F110" s="493"/>
      <c r="G110" s="493"/>
      <c r="H110" s="493"/>
      <c r="I110" s="493"/>
      <c r="J110" s="493"/>
      <c r="K110" s="493"/>
      <c r="L110" s="493"/>
      <c r="M110" s="493"/>
    </row>
    <row r="111" spans="1:13" ht="21" customHeight="1">
      <c r="B111" s="494" t="s">
        <v>1231</v>
      </c>
      <c r="C111" s="494"/>
      <c r="D111" s="494"/>
      <c r="E111" s="494"/>
      <c r="F111" s="494"/>
      <c r="G111" s="494"/>
      <c r="H111" s="494"/>
      <c r="I111" s="494"/>
      <c r="J111" s="494"/>
      <c r="K111" s="494"/>
      <c r="L111" s="495"/>
    </row>
    <row r="112" spans="1:13" s="93" customFormat="1" ht="16.5" customHeight="1"/>
    <row r="113" spans="1:6" s="93" customFormat="1" ht="16.5" customHeight="1">
      <c r="A113" s="94" t="s">
        <v>1232</v>
      </c>
      <c r="B113" s="93" t="s">
        <v>1773</v>
      </c>
    </row>
    <row r="114" spans="1:6" ht="16.5" customHeight="1"/>
    <row r="115" spans="1:6" ht="16.5" customHeight="1"/>
    <row r="116" spans="1:6" ht="16.5" customHeight="1">
      <c r="B116" s="93"/>
    </row>
    <row r="117" spans="1:6" ht="16.5" customHeight="1">
      <c r="B117" s="93" t="s">
        <v>5791</v>
      </c>
    </row>
    <row r="118" spans="1:6" ht="16.5" customHeight="1">
      <c r="B118" s="4" t="s">
        <v>1431</v>
      </c>
      <c r="F118" s="104" t="s">
        <v>1238</v>
      </c>
    </row>
    <row r="119" spans="1:6" ht="16.5" customHeight="1">
      <c r="B119" s="93" t="str">
        <f>DBCS(B16)</f>
        <v>学习ＥＸＣＥＬ函数，尽在函数宝典！</v>
      </c>
      <c r="F119" s="108" t="s">
        <v>3043</v>
      </c>
    </row>
    <row r="120" spans="1:6" ht="16.5" customHeight="1">
      <c r="B120" s="93" t="str">
        <f>DBCS("学习EXCEL函数,尽在函数宝典!题")</f>
        <v>学习ＥＸＣＥＬ函数，尽在函数宝典！题</v>
      </c>
      <c r="F120" s="108" t="s">
        <v>5792</v>
      </c>
    </row>
    <row r="121" spans="1:6" ht="16.5" customHeight="1">
      <c r="F121" s="18"/>
    </row>
    <row r="122" spans="1:6" ht="16.5" customHeight="1"/>
    <row r="125" spans="1:6">
      <c r="F125" s="18"/>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AV224"/>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309</v>
      </c>
      <c r="B1" s="498"/>
      <c r="C1" s="499"/>
      <c r="D1" s="87"/>
      <c r="E1" s="500" t="str">
        <f>HYPERLINK("#目录!A180","跳转回到目录页")</f>
        <v>跳转回到目录页</v>
      </c>
      <c r="F1" s="501"/>
    </row>
    <row r="2" spans="1:48" s="88" customFormat="1" ht="26.25" customHeight="1">
      <c r="A2" s="502" t="s">
        <v>1216</v>
      </c>
      <c r="B2" s="502"/>
      <c r="C2" s="503" t="s">
        <v>310</v>
      </c>
      <c r="D2" s="503"/>
      <c r="E2" s="503"/>
      <c r="F2" s="503"/>
      <c r="G2" s="503"/>
      <c r="H2" s="503"/>
      <c r="I2" s="503"/>
      <c r="J2" s="503"/>
      <c r="K2" s="503"/>
      <c r="L2" s="503"/>
      <c r="M2" s="503"/>
    </row>
    <row r="3" spans="1:48" s="88" customFormat="1" ht="16.5" customHeight="1">
      <c r="A3" s="496" t="s">
        <v>1217</v>
      </c>
      <c r="B3" s="496"/>
      <c r="C3" s="493" t="s">
        <v>1180</v>
      </c>
      <c r="D3" s="493"/>
      <c r="E3" s="493"/>
      <c r="F3" s="493"/>
      <c r="G3" s="493"/>
      <c r="H3" s="493"/>
      <c r="I3" s="493"/>
      <c r="J3" s="493"/>
      <c r="K3" s="493"/>
      <c r="L3" s="493"/>
      <c r="M3" s="493"/>
    </row>
    <row r="4" spans="1:48" s="88" customFormat="1" ht="16.5" customHeight="1">
      <c r="A4" s="496" t="s">
        <v>5786</v>
      </c>
      <c r="B4" s="496"/>
      <c r="C4" s="497" t="s">
        <v>3044</v>
      </c>
      <c r="D4" s="497"/>
      <c r="E4" s="497"/>
      <c r="F4" s="497"/>
      <c r="G4" s="497"/>
      <c r="H4" s="497"/>
      <c r="I4" s="497"/>
      <c r="J4" s="497"/>
      <c r="K4" s="497"/>
      <c r="L4" s="497"/>
      <c r="M4" s="497"/>
    </row>
    <row r="5" spans="1:48" s="88" customFormat="1" ht="16.5" customHeight="1">
      <c r="A5" s="496" t="s">
        <v>1220</v>
      </c>
      <c r="B5" s="496"/>
      <c r="C5" s="493" t="s">
        <v>3045</v>
      </c>
      <c r="D5" s="493"/>
      <c r="E5" s="493"/>
      <c r="F5" s="493"/>
      <c r="G5" s="493"/>
      <c r="H5" s="493"/>
      <c r="I5" s="493"/>
      <c r="J5" s="493"/>
      <c r="K5" s="493"/>
      <c r="L5" s="493"/>
      <c r="M5" s="493"/>
    </row>
    <row r="6" spans="1:48" s="88" customFormat="1" ht="16.5" customHeight="1">
      <c r="A6" s="496" t="s">
        <v>5785</v>
      </c>
      <c r="B6" s="496"/>
      <c r="C6" s="493" t="s">
        <v>3046</v>
      </c>
      <c r="D6" s="493"/>
      <c r="E6" s="493"/>
      <c r="F6" s="493"/>
      <c r="G6" s="493"/>
      <c r="H6" s="493"/>
      <c r="I6" s="493"/>
      <c r="J6" s="493"/>
      <c r="K6" s="493"/>
      <c r="L6" s="493"/>
      <c r="M6" s="493"/>
    </row>
    <row r="7" spans="1:48" s="88" customFormat="1" ht="16.5" customHeight="1">
      <c r="A7" s="89" t="s">
        <v>1223</v>
      </c>
      <c r="B7" s="92" t="s">
        <v>3034</v>
      </c>
      <c r="C7" s="493" t="s">
        <v>3047</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493" t="s">
        <v>3048</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D16" s="518" t="s">
        <v>1431</v>
      </c>
      <c r="E16" s="518"/>
      <c r="F16" s="104" t="s">
        <v>1238</v>
      </c>
      <c r="G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482" t="s">
        <v>3049</v>
      </c>
      <c r="C17" s="504"/>
      <c r="D17" s="504" t="str">
        <f t="shared" ref="D17:D22" si="0">UPPER(B17)</f>
        <v>AAAAAA</v>
      </c>
      <c r="E17" s="505"/>
      <c r="F17" s="108" t="s">
        <v>3050</v>
      </c>
      <c r="G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483"/>
      <c r="C18" s="488"/>
      <c r="D18" s="488" t="str">
        <f>UPPER("aaa")</f>
        <v>AAA</v>
      </c>
      <c r="E18" s="639"/>
      <c r="F18" s="108" t="s">
        <v>3051</v>
      </c>
      <c r="G18" s="18"/>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483" t="s">
        <v>3052</v>
      </c>
      <c r="C19" s="488"/>
      <c r="D19" s="488" t="str">
        <f t="shared" si="0"/>
        <v>AAA</v>
      </c>
      <c r="E19" s="639"/>
      <c r="G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483" t="s">
        <v>1545</v>
      </c>
      <c r="C20" s="488"/>
      <c r="D20" s="488" t="str">
        <f t="shared" si="0"/>
        <v>AAA</v>
      </c>
      <c r="E20" s="639"/>
      <c r="G20" s="18"/>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483" t="s">
        <v>3053</v>
      </c>
      <c r="C21" s="488"/>
      <c r="D21" s="488" t="str">
        <f t="shared" si="0"/>
        <v>AAA每男每女</v>
      </c>
      <c r="E21" s="639"/>
      <c r="G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484" t="s">
        <v>3054</v>
      </c>
      <c r="C22" s="489"/>
      <c r="D22" s="489" t="str">
        <f t="shared" si="0"/>
        <v>AAA每男每女</v>
      </c>
      <c r="E22" s="640"/>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G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G24" s="18"/>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G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G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311</v>
      </c>
      <c r="B100" s="498"/>
      <c r="C100" s="499"/>
      <c r="D100" s="87"/>
      <c r="E100" s="500" t="str">
        <f>HYPERLINK("#目录!A181","跳转回到目录页")</f>
        <v>跳转回到目录页</v>
      </c>
      <c r="F100" s="501"/>
    </row>
    <row r="101" spans="1:13" s="88" customFormat="1" ht="26.25" customHeight="1">
      <c r="A101" s="502" t="s">
        <v>1216</v>
      </c>
      <c r="B101" s="502"/>
      <c r="C101" s="503" t="s">
        <v>312</v>
      </c>
      <c r="D101" s="503"/>
      <c r="E101" s="503"/>
      <c r="F101" s="503"/>
      <c r="G101" s="503"/>
      <c r="H101" s="503"/>
      <c r="I101" s="503"/>
      <c r="J101" s="503"/>
      <c r="K101" s="503"/>
      <c r="L101" s="503"/>
      <c r="M101" s="503"/>
    </row>
    <row r="102" spans="1:13" s="88" customFormat="1" ht="16.5" customHeight="1">
      <c r="A102" s="496" t="s">
        <v>1217</v>
      </c>
      <c r="B102" s="496"/>
      <c r="C102" s="493" t="s">
        <v>3055</v>
      </c>
      <c r="D102" s="493"/>
      <c r="E102" s="493"/>
      <c r="F102" s="493"/>
      <c r="G102" s="493"/>
      <c r="H102" s="493"/>
      <c r="I102" s="493"/>
      <c r="J102" s="493"/>
      <c r="K102" s="493"/>
      <c r="L102" s="493"/>
      <c r="M102" s="493"/>
    </row>
    <row r="103" spans="1:13" s="88" customFormat="1" ht="16.5" customHeight="1">
      <c r="A103" s="496" t="s">
        <v>5786</v>
      </c>
      <c r="B103" s="496"/>
      <c r="C103" s="497" t="s">
        <v>3056</v>
      </c>
      <c r="D103" s="497"/>
      <c r="E103" s="497"/>
      <c r="F103" s="497"/>
      <c r="G103" s="497"/>
      <c r="H103" s="497"/>
      <c r="I103" s="497"/>
      <c r="J103" s="497"/>
      <c r="K103" s="497"/>
      <c r="L103" s="497"/>
      <c r="M103" s="497"/>
    </row>
    <row r="104" spans="1:13" s="88" customFormat="1" ht="16.5" customHeight="1">
      <c r="A104" s="496" t="s">
        <v>1220</v>
      </c>
      <c r="B104" s="496"/>
      <c r="C104" s="493" t="s">
        <v>3057</v>
      </c>
      <c r="D104" s="493"/>
      <c r="E104" s="493"/>
      <c r="F104" s="493"/>
      <c r="G104" s="493"/>
      <c r="H104" s="493"/>
      <c r="I104" s="493"/>
      <c r="J104" s="493"/>
      <c r="K104" s="493"/>
      <c r="L104" s="493"/>
      <c r="M104" s="493"/>
    </row>
    <row r="105" spans="1:13" s="88" customFormat="1" ht="16.5" customHeight="1">
      <c r="A105" s="496" t="s">
        <v>5785</v>
      </c>
      <c r="B105" s="496"/>
      <c r="C105" s="493" t="s">
        <v>3058</v>
      </c>
      <c r="D105" s="493"/>
      <c r="E105" s="493"/>
      <c r="F105" s="493"/>
      <c r="G105" s="493"/>
      <c r="H105" s="493"/>
      <c r="I105" s="493"/>
      <c r="J105" s="493"/>
      <c r="K105" s="493"/>
      <c r="L105" s="493"/>
      <c r="M105" s="493"/>
    </row>
    <row r="106" spans="1:13" s="88" customFormat="1" ht="16.5" customHeight="1">
      <c r="A106" s="89" t="s">
        <v>1223</v>
      </c>
      <c r="B106" s="92" t="s">
        <v>3034</v>
      </c>
      <c r="C106" s="493" t="s">
        <v>3059</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493"/>
      <c r="C110" s="493"/>
      <c r="D110" s="493"/>
      <c r="E110" s="493"/>
      <c r="F110" s="493"/>
      <c r="G110" s="493"/>
      <c r="H110" s="493"/>
      <c r="I110" s="493"/>
      <c r="J110" s="493"/>
      <c r="K110" s="493"/>
      <c r="L110" s="493"/>
      <c r="M110" s="493"/>
    </row>
    <row r="111" spans="1:13" ht="21" customHeight="1">
      <c r="B111" s="494" t="s">
        <v>1231</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row r="116" spans="1:48" ht="16.5" customHeight="1">
      <c r="B116" s="93"/>
      <c r="C116" s="93"/>
      <c r="D116" s="518" t="s">
        <v>1431</v>
      </c>
      <c r="E116" s="518"/>
      <c r="F116" s="104" t="s">
        <v>1238</v>
      </c>
    </row>
    <row r="117" spans="1:48" ht="16.5" customHeight="1">
      <c r="B117" s="482" t="s">
        <v>3049</v>
      </c>
      <c r="C117" s="504"/>
      <c r="D117" s="504" t="str">
        <f t="shared" ref="D117:D122" si="1">LOWER(B117)</f>
        <v>aaaaaa</v>
      </c>
      <c r="E117" s="505"/>
      <c r="F117" s="108" t="s">
        <v>3060</v>
      </c>
      <c r="G117" s="18"/>
    </row>
    <row r="118" spans="1:48" ht="16.5" customHeight="1">
      <c r="B118" s="483"/>
      <c r="C118" s="488"/>
      <c r="D118" s="488" t="str">
        <f>LOWER("AAA")</f>
        <v>aaa</v>
      </c>
      <c r="E118" s="639"/>
      <c r="F118" s="108" t="s">
        <v>3061</v>
      </c>
    </row>
    <row r="119" spans="1:48" ht="16.5" customHeight="1">
      <c r="B119" s="483" t="s">
        <v>3052</v>
      </c>
      <c r="C119" s="488"/>
      <c r="D119" s="488" t="str">
        <f t="shared" si="1"/>
        <v>aaa</v>
      </c>
      <c r="E119" s="639"/>
      <c r="F119" s="93"/>
      <c r="G119" s="18"/>
    </row>
    <row r="120" spans="1:48" ht="16.5" customHeight="1">
      <c r="B120" s="483" t="s">
        <v>1545</v>
      </c>
      <c r="C120" s="488"/>
      <c r="D120" s="488" t="str">
        <f t="shared" si="1"/>
        <v>aaa</v>
      </c>
      <c r="E120" s="639"/>
      <c r="F120" s="93"/>
    </row>
    <row r="121" spans="1:48" ht="16.5" customHeight="1">
      <c r="B121" s="483" t="s">
        <v>3053</v>
      </c>
      <c r="C121" s="488"/>
      <c r="D121" s="528" t="str">
        <f t="shared" si="1"/>
        <v>aaa每男每女</v>
      </c>
      <c r="E121" s="529"/>
      <c r="F121" s="93"/>
    </row>
    <row r="122" spans="1:48" ht="16.5" customHeight="1">
      <c r="B122" s="484" t="s">
        <v>3054</v>
      </c>
      <c r="C122" s="489"/>
      <c r="D122" s="532" t="str">
        <f t="shared" si="1"/>
        <v>aaa每男每女</v>
      </c>
      <c r="E122" s="533"/>
      <c r="F122" s="93"/>
    </row>
    <row r="123" spans="1:48" ht="16.5" customHeight="1"/>
    <row r="124" spans="1:48" ht="16.5" customHeight="1"/>
    <row r="200" spans="1:13" s="88" customFormat="1" ht="26.25" customHeight="1">
      <c r="A200" s="498" t="s">
        <v>313</v>
      </c>
      <c r="B200" s="498"/>
      <c r="C200" s="499"/>
      <c r="D200" s="87"/>
      <c r="E200" s="500" t="str">
        <f>HYPERLINK("#目录!A182","跳转回到目录页")</f>
        <v>跳转回到目录页</v>
      </c>
      <c r="F200" s="501"/>
    </row>
    <row r="201" spans="1:13" s="88" customFormat="1" ht="26.25" customHeight="1">
      <c r="A201" s="502" t="s">
        <v>1216</v>
      </c>
      <c r="B201" s="502"/>
      <c r="C201" s="503" t="s">
        <v>314</v>
      </c>
      <c r="D201" s="503"/>
      <c r="E201" s="503"/>
      <c r="F201" s="503"/>
      <c r="G201" s="503"/>
      <c r="H201" s="503"/>
      <c r="I201" s="503"/>
      <c r="J201" s="503"/>
      <c r="K201" s="503"/>
      <c r="L201" s="503"/>
      <c r="M201" s="503"/>
    </row>
    <row r="202" spans="1:13" s="88" customFormat="1" ht="16.5" customHeight="1">
      <c r="A202" s="496" t="s">
        <v>1217</v>
      </c>
      <c r="B202" s="496"/>
      <c r="C202" s="493" t="s">
        <v>3062</v>
      </c>
      <c r="D202" s="493"/>
      <c r="E202" s="493"/>
      <c r="F202" s="493"/>
      <c r="G202" s="493"/>
      <c r="H202" s="493"/>
      <c r="I202" s="493"/>
      <c r="J202" s="493"/>
      <c r="K202" s="493"/>
      <c r="L202" s="493"/>
      <c r="M202" s="493"/>
    </row>
    <row r="203" spans="1:13" s="88" customFormat="1" ht="16.5" customHeight="1">
      <c r="A203" s="496" t="s">
        <v>5786</v>
      </c>
      <c r="B203" s="496"/>
      <c r="C203" s="497" t="s">
        <v>3063</v>
      </c>
      <c r="D203" s="497"/>
      <c r="E203" s="497"/>
      <c r="F203" s="497"/>
      <c r="G203" s="497"/>
      <c r="H203" s="497"/>
      <c r="I203" s="497"/>
      <c r="J203" s="497"/>
      <c r="K203" s="497"/>
      <c r="L203" s="497"/>
      <c r="M203" s="497"/>
    </row>
    <row r="204" spans="1:13" s="88" customFormat="1" ht="16.5" customHeight="1">
      <c r="A204" s="496" t="s">
        <v>1220</v>
      </c>
      <c r="B204" s="496"/>
      <c r="C204" s="493" t="s">
        <v>3064</v>
      </c>
      <c r="D204" s="493"/>
      <c r="E204" s="493"/>
      <c r="F204" s="493"/>
      <c r="G204" s="493"/>
      <c r="H204" s="493"/>
      <c r="I204" s="493"/>
      <c r="J204" s="493"/>
      <c r="K204" s="493"/>
      <c r="L204" s="493"/>
      <c r="M204" s="493"/>
    </row>
    <row r="205" spans="1:13" s="88" customFormat="1" ht="16.5" customHeight="1">
      <c r="A205" s="496" t="s">
        <v>5785</v>
      </c>
      <c r="B205" s="496"/>
      <c r="C205" s="493" t="s">
        <v>3065</v>
      </c>
      <c r="D205" s="493"/>
      <c r="E205" s="493"/>
      <c r="F205" s="493"/>
      <c r="G205" s="493"/>
      <c r="H205" s="493"/>
      <c r="I205" s="493"/>
      <c r="J205" s="493"/>
      <c r="K205" s="493"/>
      <c r="L205" s="493"/>
      <c r="M205" s="493"/>
    </row>
    <row r="206" spans="1:13" s="88" customFormat="1" ht="16.5" customHeight="1">
      <c r="A206" s="89" t="s">
        <v>1223</v>
      </c>
      <c r="B206" s="92" t="s">
        <v>3034</v>
      </c>
      <c r="C206" s="493" t="s">
        <v>3066</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493"/>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row r="216" spans="1:13" ht="16.5" customHeight="1">
      <c r="B216" s="93"/>
      <c r="C216" s="93"/>
      <c r="D216" s="518" t="s">
        <v>1431</v>
      </c>
      <c r="E216" s="518"/>
      <c r="F216" s="104" t="s">
        <v>1238</v>
      </c>
    </row>
    <row r="217" spans="1:13" ht="16.5" customHeight="1">
      <c r="B217" s="482" t="s">
        <v>3067</v>
      </c>
      <c r="C217" s="504"/>
      <c r="D217" s="504" t="str">
        <f t="shared" ref="D217:D222" si="2">PROPER(B217)</f>
        <v>Aaaaaa Bbbbbb</v>
      </c>
      <c r="E217" s="505"/>
      <c r="F217" s="108" t="s">
        <v>3068</v>
      </c>
      <c r="G217" s="18"/>
    </row>
    <row r="218" spans="1:13" ht="16.5" customHeight="1">
      <c r="B218" s="483"/>
      <c r="C218" s="488"/>
      <c r="D218" s="488" t="str">
        <f>PROPER("AAA")</f>
        <v>Aaa</v>
      </c>
      <c r="E218" s="639"/>
      <c r="F218" s="108" t="s">
        <v>3069</v>
      </c>
    </row>
    <row r="219" spans="1:13" ht="16.5" customHeight="1">
      <c r="B219" s="483" t="s">
        <v>3052</v>
      </c>
      <c r="C219" s="488"/>
      <c r="D219" s="488" t="str">
        <f t="shared" si="2"/>
        <v>Aaa</v>
      </c>
      <c r="E219" s="639"/>
      <c r="F219" s="93"/>
      <c r="G219" s="18"/>
    </row>
    <row r="220" spans="1:13" ht="16.5" customHeight="1">
      <c r="B220" s="483" t="s">
        <v>1545</v>
      </c>
      <c r="C220" s="488"/>
      <c r="D220" s="488" t="str">
        <f t="shared" si="2"/>
        <v>Aaa</v>
      </c>
      <c r="E220" s="639"/>
      <c r="F220" s="93"/>
    </row>
    <row r="221" spans="1:13" ht="16.5" customHeight="1">
      <c r="B221" s="483" t="s">
        <v>3053</v>
      </c>
      <c r="C221" s="488"/>
      <c r="D221" s="488" t="str">
        <f t="shared" si="2"/>
        <v>Aaa每男每女</v>
      </c>
      <c r="E221" s="639"/>
      <c r="F221" s="93"/>
    </row>
    <row r="222" spans="1:13" ht="16.5" customHeight="1">
      <c r="B222" s="484" t="s">
        <v>3054</v>
      </c>
      <c r="C222" s="489"/>
      <c r="D222" s="489" t="str">
        <f t="shared" si="2"/>
        <v>Aaa每男每女</v>
      </c>
      <c r="E222" s="640"/>
      <c r="F222" s="93"/>
    </row>
    <row r="223" spans="1:13" ht="16.5" customHeight="1"/>
    <row r="224" spans="1:13" ht="16.5" customHeight="1"/>
  </sheetData>
  <mergeCells count="93">
    <mergeCell ref="A1:C1"/>
    <mergeCell ref="E1:F1"/>
    <mergeCell ref="A2:B2"/>
    <mergeCell ref="C2:M2"/>
    <mergeCell ref="A3:B3"/>
    <mergeCell ref="C3:M3"/>
    <mergeCell ref="A4:B4"/>
    <mergeCell ref="C4:M4"/>
    <mergeCell ref="A5:B5"/>
    <mergeCell ref="C5:M5"/>
    <mergeCell ref="A6:B6"/>
    <mergeCell ref="C6:M6"/>
    <mergeCell ref="B19:C19"/>
    <mergeCell ref="D19:E19"/>
    <mergeCell ref="C7:M7"/>
    <mergeCell ref="C8:M8"/>
    <mergeCell ref="C9:M9"/>
    <mergeCell ref="B10:M10"/>
    <mergeCell ref="B11:M11"/>
    <mergeCell ref="B12:L12"/>
    <mergeCell ref="D16:E16"/>
    <mergeCell ref="B17:C17"/>
    <mergeCell ref="D17:E17"/>
    <mergeCell ref="B18:C18"/>
    <mergeCell ref="D18:E18"/>
    <mergeCell ref="B20:C20"/>
    <mergeCell ref="D20:E20"/>
    <mergeCell ref="B21:C21"/>
    <mergeCell ref="D21:E21"/>
    <mergeCell ref="B22:C22"/>
    <mergeCell ref="D22:E22"/>
    <mergeCell ref="A100:C100"/>
    <mergeCell ref="E100:F100"/>
    <mergeCell ref="A101:B101"/>
    <mergeCell ref="C101:M101"/>
    <mergeCell ref="A102:B102"/>
    <mergeCell ref="C102:M102"/>
    <mergeCell ref="A103:B103"/>
    <mergeCell ref="C103:M103"/>
    <mergeCell ref="A104:B104"/>
    <mergeCell ref="C104:M104"/>
    <mergeCell ref="A105:B105"/>
    <mergeCell ref="C105:M105"/>
    <mergeCell ref="B119:C119"/>
    <mergeCell ref="D119:E119"/>
    <mergeCell ref="C106:M106"/>
    <mergeCell ref="C107:M107"/>
    <mergeCell ref="C108:M108"/>
    <mergeCell ref="B109:M109"/>
    <mergeCell ref="B110:M110"/>
    <mergeCell ref="B111:L111"/>
    <mergeCell ref="D116:E116"/>
    <mergeCell ref="B117:C117"/>
    <mergeCell ref="D117:E117"/>
    <mergeCell ref="B118:C118"/>
    <mergeCell ref="D118:E118"/>
    <mergeCell ref="B120:C120"/>
    <mergeCell ref="D120:E120"/>
    <mergeCell ref="B121:C121"/>
    <mergeCell ref="D121:E121"/>
    <mergeCell ref="B122:C122"/>
    <mergeCell ref="D122:E122"/>
    <mergeCell ref="A200:C200"/>
    <mergeCell ref="E200:F200"/>
    <mergeCell ref="A201:B201"/>
    <mergeCell ref="C201:M201"/>
    <mergeCell ref="A202:B202"/>
    <mergeCell ref="C202:M202"/>
    <mergeCell ref="A203:B203"/>
    <mergeCell ref="C203:M203"/>
    <mergeCell ref="A204:B204"/>
    <mergeCell ref="C204:M204"/>
    <mergeCell ref="A205:B205"/>
    <mergeCell ref="C205:M205"/>
    <mergeCell ref="B219:C219"/>
    <mergeCell ref="D219:E219"/>
    <mergeCell ref="C206:M206"/>
    <mergeCell ref="C207:M207"/>
    <mergeCell ref="C208:M208"/>
    <mergeCell ref="B209:M209"/>
    <mergeCell ref="B210:M210"/>
    <mergeCell ref="B211:L211"/>
    <mergeCell ref="D216:E216"/>
    <mergeCell ref="B217:C217"/>
    <mergeCell ref="D217:E217"/>
    <mergeCell ref="B218:C218"/>
    <mergeCell ref="D218:E218"/>
    <mergeCell ref="B220:C220"/>
    <mergeCell ref="D220:E220"/>
    <mergeCell ref="B221:C221"/>
    <mergeCell ref="D221:E221"/>
    <mergeCell ref="B222:C222"/>
    <mergeCell ref="D222:E222"/>
  </mergeCells>
  <phoneticPr fontId="2" type="noConversion"/>
  <pageMargins left="0.75" right="0.75" top="1" bottom="1" header="0.5" footer="0.5"/>
  <headerFooter scaleWithDoc="0"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AV328"/>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316</v>
      </c>
      <c r="B1" s="498"/>
      <c r="C1" s="499"/>
      <c r="D1" s="87"/>
      <c r="E1" s="500" t="str">
        <f>HYPERLINK("#目录!A184","跳转回到目录页")</f>
        <v>跳转回到目录页</v>
      </c>
      <c r="F1" s="501"/>
    </row>
    <row r="2" spans="1:48" s="88" customFormat="1" ht="26.25" customHeight="1">
      <c r="A2" s="502" t="s">
        <v>1216</v>
      </c>
      <c r="B2" s="502"/>
      <c r="C2" s="503" t="s">
        <v>317</v>
      </c>
      <c r="D2" s="503"/>
      <c r="E2" s="503"/>
      <c r="F2" s="503"/>
      <c r="G2" s="503"/>
      <c r="H2" s="503"/>
      <c r="I2" s="503"/>
      <c r="J2" s="503"/>
      <c r="K2" s="503"/>
      <c r="L2" s="503"/>
      <c r="M2" s="503"/>
    </row>
    <row r="3" spans="1:48" s="88" customFormat="1" ht="16.5" customHeight="1">
      <c r="A3" s="496" t="s">
        <v>1217</v>
      </c>
      <c r="B3" s="496"/>
      <c r="C3" s="493" t="s">
        <v>3070</v>
      </c>
      <c r="D3" s="493"/>
      <c r="E3" s="493"/>
      <c r="F3" s="493"/>
      <c r="G3" s="493"/>
      <c r="H3" s="493"/>
      <c r="I3" s="493"/>
      <c r="J3" s="493"/>
      <c r="K3" s="493"/>
      <c r="L3" s="493"/>
      <c r="M3" s="493"/>
    </row>
    <row r="4" spans="1:48" s="88" customFormat="1" ht="16.5" customHeight="1">
      <c r="A4" s="496" t="s">
        <v>5786</v>
      </c>
      <c r="B4" s="496"/>
      <c r="C4" s="493" t="s">
        <v>3070</v>
      </c>
      <c r="D4" s="493"/>
      <c r="E4" s="493"/>
      <c r="F4" s="493"/>
      <c r="G4" s="493"/>
      <c r="H4" s="493"/>
      <c r="I4" s="493"/>
      <c r="J4" s="493"/>
      <c r="K4" s="493"/>
      <c r="L4" s="493"/>
      <c r="M4" s="493"/>
    </row>
    <row r="5" spans="1:48" s="88" customFormat="1" ht="16.5" customHeight="1">
      <c r="A5" s="496" t="s">
        <v>1220</v>
      </c>
      <c r="B5" s="496"/>
      <c r="C5" s="493" t="s">
        <v>3071</v>
      </c>
      <c r="D5" s="493"/>
      <c r="E5" s="493"/>
      <c r="F5" s="493"/>
      <c r="G5" s="493"/>
      <c r="H5" s="493"/>
      <c r="I5" s="493"/>
      <c r="J5" s="493"/>
      <c r="K5" s="493"/>
      <c r="L5" s="493"/>
      <c r="M5" s="493"/>
    </row>
    <row r="6" spans="1:48" s="88" customFormat="1" ht="16.5" customHeight="1">
      <c r="A6" s="496" t="s">
        <v>5785</v>
      </c>
      <c r="B6" s="496"/>
      <c r="C6" s="493" t="s">
        <v>3072</v>
      </c>
      <c r="D6" s="493"/>
      <c r="E6" s="493"/>
      <c r="F6" s="493"/>
      <c r="G6" s="493"/>
      <c r="H6" s="493"/>
      <c r="I6" s="493"/>
      <c r="J6" s="493"/>
      <c r="K6" s="493"/>
      <c r="L6" s="493"/>
      <c r="M6" s="493"/>
    </row>
    <row r="7" spans="1:48" s="88" customFormat="1" ht="16.5" customHeight="1">
      <c r="A7" s="89" t="s">
        <v>1223</v>
      </c>
      <c r="B7" s="92" t="s">
        <v>3034</v>
      </c>
      <c r="C7" s="493" t="s">
        <v>3073</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24.75" customHeight="1">
      <c r="A11" s="89" t="s">
        <v>1229</v>
      </c>
      <c r="B11" s="493" t="s">
        <v>3074</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G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5" t="s">
        <v>3075</v>
      </c>
      <c r="C17" s="504" t="s">
        <v>3076</v>
      </c>
      <c r="D17" s="504"/>
      <c r="E17" s="97" t="s">
        <v>1431</v>
      </c>
      <c r="F17" s="104" t="s">
        <v>1238</v>
      </c>
      <c r="G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1" t="s">
        <v>1371</v>
      </c>
      <c r="C18" s="537">
        <v>40905</v>
      </c>
      <c r="D18" s="488"/>
      <c r="E18" s="101">
        <f>VALUE(C18)</f>
        <v>40905</v>
      </c>
      <c r="F18" s="108" t="s">
        <v>3077</v>
      </c>
      <c r="G18" s="18"/>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3078</v>
      </c>
      <c r="C19" s="649">
        <v>0.51111111111111118</v>
      </c>
      <c r="D19" s="488"/>
      <c r="E19" s="101">
        <f t="shared" ref="E19:E26" si="0">VALUE(C19)</f>
        <v>0.51111111111111118</v>
      </c>
      <c r="F19" s="108" t="s">
        <v>3079</v>
      </c>
      <c r="G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3080</v>
      </c>
      <c r="C20" s="650">
        <v>0.68</v>
      </c>
      <c r="D20" s="488"/>
      <c r="E20" s="101">
        <f t="shared" si="0"/>
        <v>0.68</v>
      </c>
      <c r="F20" s="108" t="s">
        <v>3081</v>
      </c>
      <c r="G20" s="18"/>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3082</v>
      </c>
      <c r="C21" s="651">
        <v>300</v>
      </c>
      <c r="D21" s="488"/>
      <c r="E21" s="101">
        <f t="shared" si="0"/>
        <v>300</v>
      </c>
      <c r="F21" s="108" t="s">
        <v>3083</v>
      </c>
      <c r="G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3082</v>
      </c>
      <c r="C22" s="652">
        <v>800</v>
      </c>
      <c r="D22" s="488"/>
      <c r="E22" s="101">
        <f t="shared" si="0"/>
        <v>800</v>
      </c>
      <c r="F22" s="108" t="s">
        <v>3084</v>
      </c>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3085</v>
      </c>
      <c r="C23" s="644">
        <v>0.25</v>
      </c>
      <c r="D23" s="644"/>
      <c r="E23" s="101">
        <f t="shared" si="0"/>
        <v>0.25</v>
      </c>
      <c r="F23" s="108" t="s">
        <v>3086</v>
      </c>
      <c r="G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2427</v>
      </c>
      <c r="C24" s="645"/>
      <c r="D24" s="645"/>
      <c r="E24" s="101">
        <f t="shared" si="0"/>
        <v>0</v>
      </c>
      <c r="F24" s="108" t="s">
        <v>3087</v>
      </c>
      <c r="G24" s="18"/>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3088</v>
      </c>
      <c r="C25" s="645" t="s">
        <v>1904</v>
      </c>
      <c r="D25" s="645"/>
      <c r="E25" s="101" t="e">
        <f t="shared" si="0"/>
        <v>#VALUE!</v>
      </c>
      <c r="F25" s="108" t="s">
        <v>3089</v>
      </c>
      <c r="G25" s="189"/>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40" t="s">
        <v>3090</v>
      </c>
      <c r="C26" s="646" t="s">
        <v>3091</v>
      </c>
      <c r="D26" s="647"/>
      <c r="E26" s="107">
        <f t="shared" si="0"/>
        <v>200</v>
      </c>
      <c r="F26" s="108" t="s">
        <v>3092</v>
      </c>
      <c r="G26" s="189"/>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C27" s="648"/>
      <c r="D27" s="648"/>
      <c r="G27" s="189"/>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C28" s="648"/>
      <c r="D28" s="648"/>
      <c r="G28" s="189"/>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319</v>
      </c>
      <c r="B100" s="498"/>
      <c r="C100" s="499"/>
      <c r="D100" s="87"/>
      <c r="E100" s="500" t="str">
        <f>HYPERLINK("#目录!A186","跳转回到目录页")</f>
        <v>跳转回到目录页</v>
      </c>
      <c r="F100" s="501"/>
    </row>
    <row r="101" spans="1:13" s="88" customFormat="1" ht="26.25" customHeight="1">
      <c r="A101" s="502" t="s">
        <v>1216</v>
      </c>
      <c r="B101" s="502"/>
      <c r="C101" s="503" t="s">
        <v>3093</v>
      </c>
      <c r="D101" s="503"/>
      <c r="E101" s="503"/>
      <c r="F101" s="503"/>
      <c r="G101" s="503"/>
      <c r="H101" s="503"/>
      <c r="I101" s="503"/>
      <c r="J101" s="503"/>
      <c r="K101" s="503"/>
      <c r="L101" s="503"/>
      <c r="M101" s="503"/>
    </row>
    <row r="102" spans="1:13" s="88" customFormat="1" ht="16.5" customHeight="1">
      <c r="A102" s="496" t="s">
        <v>1217</v>
      </c>
      <c r="B102" s="496"/>
      <c r="C102" s="493" t="s">
        <v>3094</v>
      </c>
      <c r="D102" s="493"/>
      <c r="E102" s="493"/>
      <c r="F102" s="493"/>
      <c r="G102" s="493"/>
      <c r="H102" s="493"/>
      <c r="I102" s="493"/>
      <c r="J102" s="493"/>
      <c r="K102" s="493"/>
      <c r="L102" s="493"/>
      <c r="M102" s="493"/>
    </row>
    <row r="103" spans="1:13" s="88" customFormat="1" ht="16.5" customHeight="1">
      <c r="A103" s="496" t="s">
        <v>5786</v>
      </c>
      <c r="B103" s="496"/>
      <c r="C103" s="497" t="s">
        <v>3095</v>
      </c>
      <c r="D103" s="497"/>
      <c r="E103" s="497"/>
      <c r="F103" s="497"/>
      <c r="G103" s="497"/>
      <c r="H103" s="497"/>
      <c r="I103" s="497"/>
      <c r="J103" s="497"/>
      <c r="K103" s="497"/>
      <c r="L103" s="497"/>
      <c r="M103" s="497"/>
    </row>
    <row r="104" spans="1:13" s="88" customFormat="1" ht="16.5" customHeight="1">
      <c r="A104" s="496" t="s">
        <v>1220</v>
      </c>
      <c r="B104" s="496"/>
      <c r="C104" s="493" t="s">
        <v>3096</v>
      </c>
      <c r="D104" s="493"/>
      <c r="E104" s="493"/>
      <c r="F104" s="493"/>
      <c r="G104" s="493"/>
      <c r="H104" s="493"/>
      <c r="I104" s="493"/>
      <c r="J104" s="493"/>
      <c r="K104" s="493"/>
      <c r="L104" s="493"/>
      <c r="M104" s="493"/>
    </row>
    <row r="105" spans="1:13" s="88" customFormat="1" ht="16.5" customHeight="1">
      <c r="A105" s="496" t="s">
        <v>5785</v>
      </c>
      <c r="B105" s="496"/>
      <c r="C105" s="493" t="s">
        <v>3097</v>
      </c>
      <c r="D105" s="493"/>
      <c r="E105" s="493"/>
      <c r="F105" s="493"/>
      <c r="G105" s="493"/>
      <c r="H105" s="493"/>
      <c r="I105" s="493"/>
      <c r="J105" s="493"/>
      <c r="K105" s="493"/>
      <c r="L105" s="493"/>
      <c r="M105" s="493"/>
    </row>
    <row r="106" spans="1:13" s="88" customFormat="1" ht="16.5" customHeight="1">
      <c r="A106" s="89" t="s">
        <v>1223</v>
      </c>
      <c r="B106" s="92" t="s">
        <v>3034</v>
      </c>
      <c r="C106" s="493" t="s">
        <v>3098</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493"/>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row>
    <row r="114" spans="1:7" ht="16.5" customHeight="1"/>
    <row r="115" spans="1:7" ht="16.5" customHeight="1"/>
    <row r="116" spans="1:7" ht="16.5" customHeight="1">
      <c r="B116" s="93"/>
      <c r="C116" s="93"/>
      <c r="D116" s="94" t="s">
        <v>1431</v>
      </c>
      <c r="E116" s="104" t="s">
        <v>1238</v>
      </c>
    </row>
    <row r="117" spans="1:7" ht="16.5" customHeight="1">
      <c r="B117" s="482" t="s">
        <v>1861</v>
      </c>
      <c r="C117" s="504"/>
      <c r="D117" s="138">
        <f>LEN(B117)</f>
        <v>9</v>
      </c>
      <c r="E117" s="108" t="s">
        <v>3099</v>
      </c>
      <c r="G117" s="18"/>
    </row>
    <row r="118" spans="1:7" ht="16.5" customHeight="1">
      <c r="B118" s="483" t="s">
        <v>3100</v>
      </c>
      <c r="C118" s="488"/>
      <c r="D118" s="101">
        <f>LEN(B118)</f>
        <v>7</v>
      </c>
      <c r="E118" s="108" t="s">
        <v>3101</v>
      </c>
    </row>
    <row r="119" spans="1:7" ht="16.5" customHeight="1">
      <c r="B119" s="483" t="s">
        <v>3102</v>
      </c>
      <c r="C119" s="488"/>
      <c r="D119" s="101">
        <f>LEN(B119)</f>
        <v>7</v>
      </c>
      <c r="E119" s="108" t="s">
        <v>3103</v>
      </c>
    </row>
    <row r="120" spans="1:7" ht="16.5" customHeight="1">
      <c r="B120" s="483" t="s">
        <v>3104</v>
      </c>
      <c r="C120" s="488"/>
      <c r="D120" s="101">
        <f>LEN(B120)</f>
        <v>8</v>
      </c>
      <c r="E120" s="108" t="s">
        <v>3105</v>
      </c>
    </row>
    <row r="121" spans="1:7" ht="16.5" customHeight="1">
      <c r="B121" s="484" t="s">
        <v>3106</v>
      </c>
      <c r="C121" s="489"/>
      <c r="D121" s="107">
        <f>LEN(B121)</f>
        <v>9</v>
      </c>
      <c r="E121" s="108" t="s">
        <v>3107</v>
      </c>
      <c r="F121" s="93" t="s">
        <v>3108</v>
      </c>
    </row>
    <row r="122" spans="1:7" ht="16.5" customHeight="1"/>
    <row r="123" spans="1:7">
      <c r="G123" s="18"/>
    </row>
    <row r="125" spans="1:7">
      <c r="G125" s="18"/>
    </row>
    <row r="127" spans="1:7">
      <c r="G127" s="18"/>
    </row>
    <row r="200" spans="1:13" s="88" customFormat="1" ht="26.25" customHeight="1">
      <c r="A200" s="498" t="s">
        <v>320</v>
      </c>
      <c r="B200" s="498"/>
      <c r="C200" s="499"/>
      <c r="D200" s="87"/>
      <c r="E200" s="500" t="str">
        <f>HYPERLINK("#目录!A187","跳转回到目录页")</f>
        <v>跳转回到目录页</v>
      </c>
      <c r="F200" s="501"/>
    </row>
    <row r="201" spans="1:13" s="88" customFormat="1" ht="26.25" customHeight="1">
      <c r="A201" s="502" t="s">
        <v>1216</v>
      </c>
      <c r="B201" s="502"/>
      <c r="C201" s="503" t="s">
        <v>321</v>
      </c>
      <c r="D201" s="503"/>
      <c r="E201" s="503"/>
      <c r="F201" s="503"/>
      <c r="G201" s="503"/>
      <c r="H201" s="503"/>
      <c r="I201" s="503"/>
      <c r="J201" s="503"/>
      <c r="K201" s="503"/>
      <c r="L201" s="503"/>
      <c r="M201" s="503"/>
    </row>
    <row r="202" spans="1:13" s="88" customFormat="1" ht="16.5" customHeight="1">
      <c r="A202" s="496" t="s">
        <v>1217</v>
      </c>
      <c r="B202" s="496"/>
      <c r="C202" s="493" t="s">
        <v>3109</v>
      </c>
      <c r="D202" s="493"/>
      <c r="E202" s="493"/>
      <c r="F202" s="493"/>
      <c r="G202" s="493"/>
      <c r="H202" s="493"/>
      <c r="I202" s="493"/>
      <c r="J202" s="493"/>
      <c r="K202" s="493"/>
      <c r="L202" s="493"/>
      <c r="M202" s="493"/>
    </row>
    <row r="203" spans="1:13" s="88" customFormat="1" ht="16.5" customHeight="1">
      <c r="A203" s="496" t="s">
        <v>5786</v>
      </c>
      <c r="B203" s="496"/>
      <c r="C203" s="497" t="s">
        <v>321</v>
      </c>
      <c r="D203" s="497"/>
      <c r="E203" s="497"/>
      <c r="F203" s="497"/>
      <c r="G203" s="497"/>
      <c r="H203" s="497"/>
      <c r="I203" s="497"/>
      <c r="J203" s="497"/>
      <c r="K203" s="497"/>
      <c r="L203" s="497"/>
      <c r="M203" s="497"/>
    </row>
    <row r="204" spans="1:13" s="88" customFormat="1" ht="16.5" customHeight="1">
      <c r="A204" s="496" t="s">
        <v>1220</v>
      </c>
      <c r="B204" s="496"/>
      <c r="C204" s="493" t="s">
        <v>3110</v>
      </c>
      <c r="D204" s="493"/>
      <c r="E204" s="493"/>
      <c r="F204" s="493"/>
      <c r="G204" s="493"/>
      <c r="H204" s="493"/>
      <c r="I204" s="493"/>
      <c r="J204" s="493"/>
      <c r="K204" s="493"/>
      <c r="L204" s="493"/>
      <c r="M204" s="493"/>
    </row>
    <row r="205" spans="1:13" s="88" customFormat="1" ht="16.5" customHeight="1">
      <c r="A205" s="496" t="s">
        <v>5785</v>
      </c>
      <c r="B205" s="496"/>
      <c r="C205" s="493" t="s">
        <v>3111</v>
      </c>
      <c r="D205" s="493"/>
      <c r="E205" s="493"/>
      <c r="F205" s="493"/>
      <c r="G205" s="493"/>
      <c r="H205" s="493"/>
      <c r="I205" s="493"/>
      <c r="J205" s="493"/>
      <c r="K205" s="493"/>
      <c r="L205" s="493"/>
      <c r="M205" s="493"/>
    </row>
    <row r="206" spans="1:13" s="88" customFormat="1" ht="16.5" customHeight="1">
      <c r="A206" s="89" t="s">
        <v>1223</v>
      </c>
      <c r="B206" s="92" t="s">
        <v>3034</v>
      </c>
      <c r="C206" s="493" t="s">
        <v>3098</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493"/>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c r="B215" s="93" t="s">
        <v>3112</v>
      </c>
    </row>
    <row r="216" spans="1:13" ht="16.5" customHeight="1"/>
    <row r="217" spans="1:13" ht="16.5" customHeight="1"/>
    <row r="218" spans="1:13" ht="16.5" customHeight="1"/>
    <row r="219" spans="1:13" ht="16.5" customHeight="1"/>
    <row r="220" spans="1:13" ht="16.5" customHeight="1"/>
    <row r="221" spans="1:13" ht="16.5" customHeight="1"/>
    <row r="300" spans="1:13" s="88" customFormat="1" ht="26.25" customHeight="1">
      <c r="A300" s="498" t="s">
        <v>323</v>
      </c>
      <c r="B300" s="498"/>
      <c r="C300" s="499"/>
      <c r="D300" s="87"/>
      <c r="E300" s="500" t="str">
        <f>HYPERLINK("#目录!A189","跳转回到目录页")</f>
        <v>跳转回到目录页</v>
      </c>
      <c r="F300" s="501"/>
    </row>
    <row r="301" spans="1:13" s="88" customFormat="1" ht="26.25" customHeight="1">
      <c r="A301" s="502" t="s">
        <v>1216</v>
      </c>
      <c r="B301" s="502"/>
      <c r="C301" s="503" t="s">
        <v>324</v>
      </c>
      <c r="D301" s="503"/>
      <c r="E301" s="503"/>
      <c r="F301" s="503"/>
      <c r="G301" s="503"/>
      <c r="H301" s="503"/>
      <c r="I301" s="503"/>
      <c r="J301" s="503"/>
      <c r="K301" s="503"/>
      <c r="L301" s="503"/>
      <c r="M301" s="503"/>
    </row>
    <row r="302" spans="1:13" s="88" customFormat="1" ht="16.5" customHeight="1">
      <c r="A302" s="496" t="s">
        <v>1217</v>
      </c>
      <c r="B302" s="496"/>
      <c r="C302" s="493" t="s">
        <v>3113</v>
      </c>
      <c r="D302" s="493"/>
      <c r="E302" s="493"/>
      <c r="F302" s="493"/>
      <c r="G302" s="493"/>
      <c r="H302" s="493"/>
      <c r="I302" s="493"/>
      <c r="J302" s="493"/>
      <c r="K302" s="493"/>
      <c r="L302" s="493"/>
      <c r="M302" s="493"/>
    </row>
    <row r="303" spans="1:13" s="88" customFormat="1" ht="16.5" customHeight="1">
      <c r="A303" s="496" t="s">
        <v>5786</v>
      </c>
      <c r="B303" s="496"/>
      <c r="C303" s="497" t="s">
        <v>3114</v>
      </c>
      <c r="D303" s="497"/>
      <c r="E303" s="497"/>
      <c r="F303" s="497"/>
      <c r="G303" s="497"/>
      <c r="H303" s="497"/>
      <c r="I303" s="497"/>
      <c r="J303" s="497"/>
      <c r="K303" s="497"/>
      <c r="L303" s="497"/>
      <c r="M303" s="497"/>
    </row>
    <row r="304" spans="1:13" s="88" customFormat="1" ht="16.5" customHeight="1">
      <c r="A304" s="496" t="s">
        <v>1220</v>
      </c>
      <c r="B304" s="496"/>
      <c r="C304" s="493" t="s">
        <v>3115</v>
      </c>
      <c r="D304" s="493"/>
      <c r="E304" s="493"/>
      <c r="F304" s="493"/>
      <c r="G304" s="493"/>
      <c r="H304" s="493"/>
      <c r="I304" s="493"/>
      <c r="J304" s="493"/>
      <c r="K304" s="493"/>
      <c r="L304" s="493"/>
      <c r="M304" s="493"/>
    </row>
    <row r="305" spans="1:13" s="88" customFormat="1" ht="16.5" customHeight="1">
      <c r="A305" s="496" t="s">
        <v>5785</v>
      </c>
      <c r="B305" s="496"/>
      <c r="C305" s="493" t="s">
        <v>3116</v>
      </c>
      <c r="D305" s="493"/>
      <c r="E305" s="493"/>
      <c r="F305" s="493"/>
      <c r="G305" s="493"/>
      <c r="H305" s="493"/>
      <c r="I305" s="493"/>
      <c r="J305" s="493"/>
      <c r="K305" s="493"/>
      <c r="L305" s="493"/>
      <c r="M305" s="493"/>
    </row>
    <row r="306" spans="1:13" s="88" customFormat="1" ht="16.5" customHeight="1">
      <c r="A306" s="89" t="s">
        <v>1223</v>
      </c>
      <c r="B306" s="92" t="s">
        <v>3034</v>
      </c>
      <c r="C306" s="493" t="s">
        <v>3117</v>
      </c>
      <c r="D306" s="493"/>
      <c r="E306" s="493"/>
      <c r="F306" s="493"/>
      <c r="G306" s="493"/>
      <c r="H306" s="493"/>
      <c r="I306" s="493"/>
      <c r="J306" s="493"/>
      <c r="K306" s="493"/>
      <c r="L306" s="493"/>
      <c r="M306" s="493"/>
    </row>
    <row r="307" spans="1:13" s="88" customFormat="1" ht="16.5" customHeight="1">
      <c r="A307" s="89"/>
      <c r="B307" s="92"/>
      <c r="C307" s="493"/>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t="s">
        <v>3118</v>
      </c>
      <c r="C309" s="493"/>
      <c r="D309" s="493"/>
      <c r="E309" s="493"/>
      <c r="F309" s="493"/>
      <c r="G309" s="493"/>
      <c r="H309" s="493"/>
      <c r="I309" s="493"/>
      <c r="J309" s="493"/>
      <c r="K309" s="493"/>
      <c r="L309" s="493"/>
      <c r="M309" s="493"/>
    </row>
    <row r="310" spans="1:13" ht="16.5" customHeight="1">
      <c r="A310" s="89" t="s">
        <v>1229</v>
      </c>
      <c r="B310" s="493"/>
      <c r="C310" s="493"/>
      <c r="D310" s="493"/>
      <c r="E310" s="493"/>
      <c r="F310" s="493"/>
      <c r="G310" s="493"/>
      <c r="H310" s="493"/>
      <c r="I310" s="493"/>
      <c r="J310" s="493"/>
      <c r="K310" s="493"/>
      <c r="L310" s="493"/>
      <c r="M310" s="49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row r="316" spans="1:13" ht="16.5" customHeight="1">
      <c r="B316" s="93"/>
      <c r="C316" s="93"/>
      <c r="E316" s="94" t="s">
        <v>1431</v>
      </c>
      <c r="G316" s="104" t="s">
        <v>1238</v>
      </c>
    </row>
    <row r="317" spans="1:13" ht="16.5" customHeight="1">
      <c r="B317" s="482" t="s">
        <v>1861</v>
      </c>
      <c r="C317" s="504"/>
      <c r="D317" s="188"/>
      <c r="E317" s="504" t="str">
        <f>CONCATENATE((B317))</f>
        <v>每男每女家居生活馆</v>
      </c>
      <c r="F317" s="505"/>
      <c r="G317" s="108" t="s">
        <v>5920</v>
      </c>
    </row>
    <row r="318" spans="1:13" ht="16.5" customHeight="1">
      <c r="B318" s="483" t="s">
        <v>1904</v>
      </c>
      <c r="C318" s="488"/>
      <c r="D318" s="110"/>
      <c r="E318" s="488" t="str">
        <f>CONCATENATE(B318,"家居生活馆")</f>
        <v>每男每女家居生活馆</v>
      </c>
      <c r="F318" s="639"/>
      <c r="G318" s="108" t="s">
        <v>5921</v>
      </c>
    </row>
    <row r="319" spans="1:13" ht="16.5" customHeight="1">
      <c r="B319" s="483" t="s">
        <v>3119</v>
      </c>
      <c r="C319" s="488"/>
      <c r="D319" s="110">
        <v>888</v>
      </c>
      <c r="E319" s="488" t="str">
        <f>CONCATENATE(B319,D319)</f>
        <v>美男美女888</v>
      </c>
      <c r="F319" s="639"/>
      <c r="G319" s="108" t="s">
        <v>5922</v>
      </c>
    </row>
    <row r="320" spans="1:13" ht="16.5" customHeight="1">
      <c r="B320" s="483" t="s">
        <v>3119</v>
      </c>
      <c r="C320" s="488"/>
      <c r="D320" s="110" t="s">
        <v>3052</v>
      </c>
      <c r="E320" s="488" t="str">
        <f>CONCATENATE(B320,D320)</f>
        <v>美男美女AAA</v>
      </c>
      <c r="F320" s="639"/>
      <c r="G320" s="108" t="s">
        <v>3120</v>
      </c>
    </row>
    <row r="321" spans="2:7" ht="16.5" customHeight="1">
      <c r="B321" s="483" t="s">
        <v>3121</v>
      </c>
      <c r="C321" s="488"/>
      <c r="D321" s="110" t="s">
        <v>3122</v>
      </c>
      <c r="E321" s="488" t="str">
        <f>CONCATENATE(B321,D321)</f>
        <v>美男美女A,12</v>
      </c>
      <c r="F321" s="639"/>
      <c r="G321" s="108" t="s">
        <v>3123</v>
      </c>
    </row>
    <row r="322" spans="2:7" ht="16.5" customHeight="1">
      <c r="B322" s="483" t="s">
        <v>3121</v>
      </c>
      <c r="C322" s="488"/>
      <c r="D322" s="242" t="s">
        <v>3124</v>
      </c>
      <c r="E322" s="488" t="str">
        <f>CONCATENATE(B322,D322)</f>
        <v>美男美女A 13</v>
      </c>
      <c r="F322" s="639"/>
      <c r="G322" s="108" t="s">
        <v>3125</v>
      </c>
    </row>
    <row r="323" spans="2:7" ht="16.5" customHeight="1">
      <c r="B323" s="483" t="s">
        <v>3119</v>
      </c>
      <c r="C323" s="488"/>
      <c r="D323" s="243">
        <v>0.66</v>
      </c>
      <c r="E323" s="488" t="str">
        <f>CONCATENATE(B323,D323)</f>
        <v>美男美女0.66</v>
      </c>
      <c r="F323" s="639"/>
      <c r="G323" s="108" t="s">
        <v>3126</v>
      </c>
    </row>
    <row r="324" spans="2:7" ht="16.5" customHeight="1">
      <c r="B324" s="484"/>
      <c r="C324" s="489"/>
      <c r="D324" s="113" t="s">
        <v>3119</v>
      </c>
      <c r="E324" s="489" t="str">
        <f>CONCATENATE("A",D324)</f>
        <v>A美男美女</v>
      </c>
      <c r="F324" s="640"/>
      <c r="G324" s="108" t="s">
        <v>5923</v>
      </c>
    </row>
    <row r="325" spans="2:7" ht="16.5" customHeight="1"/>
    <row r="326" spans="2:7" ht="16.5" customHeight="1">
      <c r="G326" s="94" t="s">
        <v>1431</v>
      </c>
    </row>
    <row r="327" spans="2:7" ht="16.5" customHeight="1">
      <c r="B327" s="641" t="s">
        <v>3127</v>
      </c>
      <c r="C327" s="642"/>
      <c r="D327" s="244">
        <v>2008</v>
      </c>
      <c r="E327" s="642" t="s">
        <v>3128</v>
      </c>
      <c r="F327" s="643"/>
      <c r="G327" s="93" t="str">
        <f>CONCATENATE(B327,D327,"年",E327,"作者:")</f>
        <v>函数宝典是2008年出品的函数大全升级版作者:</v>
      </c>
    </row>
    <row r="328" spans="2:7" ht="16.5" customHeight="1">
      <c r="F328" s="104" t="s">
        <v>1238</v>
      </c>
      <c r="G328" s="108" t="s">
        <v>5788</v>
      </c>
    </row>
  </sheetData>
  <mergeCells count="107">
    <mergeCell ref="A4:B4"/>
    <mergeCell ref="C4:M4"/>
    <mergeCell ref="A5:B5"/>
    <mergeCell ref="C5:M5"/>
    <mergeCell ref="A6:B6"/>
    <mergeCell ref="C6:M6"/>
    <mergeCell ref="A1:C1"/>
    <mergeCell ref="E1:F1"/>
    <mergeCell ref="A2:B2"/>
    <mergeCell ref="C2:M2"/>
    <mergeCell ref="A3:B3"/>
    <mergeCell ref="C3:M3"/>
    <mergeCell ref="C17:D17"/>
    <mergeCell ref="C18:D18"/>
    <mergeCell ref="C19:D19"/>
    <mergeCell ref="C20:D20"/>
    <mergeCell ref="C21:D21"/>
    <mergeCell ref="C22:D22"/>
    <mergeCell ref="C7:M7"/>
    <mergeCell ref="C8:M8"/>
    <mergeCell ref="C9:M9"/>
    <mergeCell ref="B10:M10"/>
    <mergeCell ref="B11:M11"/>
    <mergeCell ref="B12:L12"/>
    <mergeCell ref="A100:C100"/>
    <mergeCell ref="E100:F100"/>
    <mergeCell ref="A101:B101"/>
    <mergeCell ref="C101:M101"/>
    <mergeCell ref="A102:B102"/>
    <mergeCell ref="C102:M102"/>
    <mergeCell ref="C23:D23"/>
    <mergeCell ref="C24:D24"/>
    <mergeCell ref="C25:D25"/>
    <mergeCell ref="C26:D26"/>
    <mergeCell ref="C27:D27"/>
    <mergeCell ref="C28:D28"/>
    <mergeCell ref="C106:M106"/>
    <mergeCell ref="C107:M107"/>
    <mergeCell ref="C108:M108"/>
    <mergeCell ref="B109:M109"/>
    <mergeCell ref="B110:M110"/>
    <mergeCell ref="B111:L111"/>
    <mergeCell ref="A103:B103"/>
    <mergeCell ref="C103:M103"/>
    <mergeCell ref="A104:B104"/>
    <mergeCell ref="C104:M104"/>
    <mergeCell ref="A105:B105"/>
    <mergeCell ref="C105:M105"/>
    <mergeCell ref="E200:F200"/>
    <mergeCell ref="A201:B201"/>
    <mergeCell ref="C201:M201"/>
    <mergeCell ref="A202:B202"/>
    <mergeCell ref="C202:M202"/>
    <mergeCell ref="A203:B203"/>
    <mergeCell ref="C203:M203"/>
    <mergeCell ref="B117:C117"/>
    <mergeCell ref="B118:C118"/>
    <mergeCell ref="B119:C119"/>
    <mergeCell ref="B120:C120"/>
    <mergeCell ref="B121:C121"/>
    <mergeCell ref="A200:C200"/>
    <mergeCell ref="C208:M208"/>
    <mergeCell ref="B209:M209"/>
    <mergeCell ref="B210:M210"/>
    <mergeCell ref="B211:L211"/>
    <mergeCell ref="A300:C300"/>
    <mergeCell ref="E300:F300"/>
    <mergeCell ref="A204:B204"/>
    <mergeCell ref="C204:M204"/>
    <mergeCell ref="A205:B205"/>
    <mergeCell ref="C205:M205"/>
    <mergeCell ref="C206:M206"/>
    <mergeCell ref="C207:M207"/>
    <mergeCell ref="A304:B304"/>
    <mergeCell ref="C304:M304"/>
    <mergeCell ref="A305:B305"/>
    <mergeCell ref="C305:M305"/>
    <mergeCell ref="C306:M306"/>
    <mergeCell ref="C307:M307"/>
    <mergeCell ref="A301:B301"/>
    <mergeCell ref="C301:M301"/>
    <mergeCell ref="A302:B302"/>
    <mergeCell ref="C302:M302"/>
    <mergeCell ref="A303:B303"/>
    <mergeCell ref="C303:M303"/>
    <mergeCell ref="B318:C318"/>
    <mergeCell ref="E318:F318"/>
    <mergeCell ref="B319:C319"/>
    <mergeCell ref="E319:F319"/>
    <mergeCell ref="B320:C320"/>
    <mergeCell ref="E320:F320"/>
    <mergeCell ref="C308:M308"/>
    <mergeCell ref="B309:M309"/>
    <mergeCell ref="B310:M310"/>
    <mergeCell ref="B311:L311"/>
    <mergeCell ref="B317:C317"/>
    <mergeCell ref="E317:F317"/>
    <mergeCell ref="B324:C324"/>
    <mergeCell ref="E324:F324"/>
    <mergeCell ref="B327:C327"/>
    <mergeCell ref="E327:F327"/>
    <mergeCell ref="B321:C321"/>
    <mergeCell ref="E321:F321"/>
    <mergeCell ref="B322:C322"/>
    <mergeCell ref="E322:F322"/>
    <mergeCell ref="B323:C323"/>
    <mergeCell ref="E323:F323"/>
  </mergeCells>
  <phoneticPr fontId="2" type="noConversion"/>
  <pageMargins left="0.75" right="0.75" top="1" bottom="1" header="0.5" footer="0.5"/>
  <headerFooter scaleWithDoc="0"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V514"/>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326</v>
      </c>
      <c r="B1" s="498"/>
      <c r="C1" s="499"/>
      <c r="D1" s="87"/>
      <c r="E1" s="500" t="str">
        <f>HYPERLINK("#目录!A191","跳转回到目录页")</f>
        <v>跳转回到目录页</v>
      </c>
      <c r="F1" s="501"/>
    </row>
    <row r="2" spans="1:48" s="88" customFormat="1" ht="26.25" customHeight="1">
      <c r="A2" s="502" t="s">
        <v>1216</v>
      </c>
      <c r="B2" s="502"/>
      <c r="C2" s="503" t="s">
        <v>327</v>
      </c>
      <c r="D2" s="503"/>
      <c r="E2" s="503"/>
      <c r="F2" s="503"/>
      <c r="G2" s="503"/>
      <c r="H2" s="503"/>
      <c r="I2" s="503"/>
      <c r="J2" s="503"/>
      <c r="K2" s="503"/>
      <c r="L2" s="503"/>
      <c r="M2" s="503"/>
    </row>
    <row r="3" spans="1:48" s="88" customFormat="1" ht="16.5" customHeight="1">
      <c r="A3" s="496" t="s">
        <v>1217</v>
      </c>
      <c r="B3" s="496"/>
      <c r="C3" s="493" t="s">
        <v>3129</v>
      </c>
      <c r="D3" s="493"/>
      <c r="E3" s="493"/>
      <c r="F3" s="493"/>
      <c r="G3" s="493"/>
      <c r="H3" s="493"/>
      <c r="I3" s="493"/>
      <c r="J3" s="493"/>
      <c r="K3" s="493"/>
      <c r="L3" s="493"/>
      <c r="M3" s="493"/>
    </row>
    <row r="4" spans="1:48" s="88" customFormat="1" ht="16.5" customHeight="1">
      <c r="A4" s="496" t="s">
        <v>5786</v>
      </c>
      <c r="B4" s="496"/>
      <c r="C4" s="497" t="s">
        <v>3130</v>
      </c>
      <c r="D4" s="497"/>
      <c r="E4" s="497"/>
      <c r="F4" s="497"/>
      <c r="G4" s="497"/>
      <c r="H4" s="497"/>
      <c r="I4" s="497"/>
      <c r="J4" s="497"/>
      <c r="K4" s="497"/>
      <c r="L4" s="497"/>
      <c r="M4" s="497"/>
    </row>
    <row r="5" spans="1:48" s="88" customFormat="1" ht="16.5" customHeight="1">
      <c r="A5" s="496" t="s">
        <v>1220</v>
      </c>
      <c r="B5" s="496"/>
      <c r="C5" s="493" t="s">
        <v>3131</v>
      </c>
      <c r="D5" s="493"/>
      <c r="E5" s="493"/>
      <c r="F5" s="493"/>
      <c r="G5" s="493"/>
      <c r="H5" s="493"/>
      <c r="I5" s="493"/>
      <c r="J5" s="493"/>
      <c r="K5" s="493"/>
      <c r="L5" s="493"/>
      <c r="M5" s="493"/>
    </row>
    <row r="6" spans="1:48" s="88" customFormat="1" ht="16.5" customHeight="1">
      <c r="A6" s="496" t="s">
        <v>5785</v>
      </c>
      <c r="B6" s="496"/>
      <c r="C6" s="493" t="s">
        <v>3132</v>
      </c>
      <c r="D6" s="493"/>
      <c r="E6" s="493"/>
      <c r="F6" s="493"/>
      <c r="G6" s="493"/>
      <c r="H6" s="493"/>
      <c r="I6" s="493"/>
      <c r="J6" s="493"/>
      <c r="K6" s="493"/>
      <c r="L6" s="493"/>
      <c r="M6" s="493"/>
    </row>
    <row r="7" spans="1:48" s="88" customFormat="1" ht="16.5" customHeight="1">
      <c r="A7" s="89" t="s">
        <v>1223</v>
      </c>
      <c r="B7" s="92" t="s">
        <v>3034</v>
      </c>
      <c r="C7" s="493" t="s">
        <v>3133</v>
      </c>
      <c r="D7" s="493"/>
      <c r="E7" s="493"/>
      <c r="F7" s="493"/>
      <c r="G7" s="493"/>
      <c r="H7" s="493"/>
      <c r="I7" s="493"/>
      <c r="J7" s="493"/>
      <c r="K7" s="493"/>
      <c r="L7" s="493"/>
      <c r="M7" s="493"/>
    </row>
    <row r="8" spans="1:48" s="88" customFormat="1" ht="16.5" customHeight="1">
      <c r="A8" s="89"/>
      <c r="B8" s="92" t="s">
        <v>3134</v>
      </c>
      <c r="C8" s="493" t="s">
        <v>3135</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36" customHeight="1">
      <c r="A11" s="89" t="s">
        <v>1229</v>
      </c>
      <c r="B11" s="493" t="s">
        <v>3136</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D16" s="94" t="s">
        <v>1431</v>
      </c>
      <c r="E16" s="104" t="s">
        <v>1238</v>
      </c>
      <c r="F16" s="4"/>
      <c r="G16" s="93" t="s">
        <v>27</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482" t="s">
        <v>1861</v>
      </c>
      <c r="C17" s="504"/>
      <c r="D17" s="138" t="str">
        <f>LEFT(B17,4)</f>
        <v>每男每女</v>
      </c>
      <c r="E17" s="108" t="s">
        <v>5912</v>
      </c>
      <c r="F17" s="4"/>
      <c r="G17" s="93" t="s">
        <v>3137</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483" t="s">
        <v>1861</v>
      </c>
      <c r="C18" s="488"/>
      <c r="D18" s="101" t="str">
        <f>LEFT(B18,2)</f>
        <v>每男</v>
      </c>
      <c r="E18" s="108" t="s">
        <v>5913</v>
      </c>
      <c r="F18" s="18"/>
      <c r="G18" s="93" t="s">
        <v>3138</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484" t="s">
        <v>3139</v>
      </c>
      <c r="C19" s="489"/>
      <c r="D19" s="107" t="str">
        <f>LEFT(B19,3)</f>
        <v>我爱钱</v>
      </c>
      <c r="E19" s="108" t="s">
        <v>5914</v>
      </c>
      <c r="F19" s="4"/>
      <c r="G19" s="93" t="s">
        <v>3140</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F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A21" s="94" t="s">
        <v>1244</v>
      </c>
      <c r="B21" s="93" t="s">
        <v>3141</v>
      </c>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3" t="s">
        <v>3142</v>
      </c>
      <c r="D23" s="93" t="s">
        <v>3143</v>
      </c>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E24" s="94" t="s">
        <v>1431</v>
      </c>
      <c r="F24" s="104" t="s">
        <v>1238</v>
      </c>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235" t="s">
        <v>3144</v>
      </c>
      <c r="C25" s="188"/>
      <c r="D25" s="188"/>
      <c r="E25" s="236" t="str">
        <f>LEFT(B25,FIND("@",B25)-1)</f>
        <v>1163077177</v>
      </c>
      <c r="F25" s="108" t="s">
        <v>3145</v>
      </c>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237" t="s">
        <v>3146</v>
      </c>
      <c r="C26" s="110"/>
      <c r="D26" s="110"/>
      <c r="E26" s="101" t="str">
        <f>LEFT(B26,FIND("@",B26)-1)</f>
        <v>63077177</v>
      </c>
      <c r="F26" s="93" t="s">
        <v>3147</v>
      </c>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238" t="s">
        <v>3148</v>
      </c>
      <c r="C27" s="113"/>
      <c r="D27" s="113"/>
      <c r="E27" s="239" t="str">
        <f>LEFT(B27,FIND("@",B27)-1)</f>
        <v>077177</v>
      </c>
      <c r="F27" s="93" t="s">
        <v>3149</v>
      </c>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F28" s="240" t="s">
        <v>3150</v>
      </c>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F29" s="93" t="s">
        <v>3151</v>
      </c>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F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F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F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F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F34" s="18"/>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F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F36" s="18"/>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F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F38" s="189"/>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F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328</v>
      </c>
      <c r="B100" s="498"/>
      <c r="C100" s="499"/>
      <c r="D100" s="87"/>
      <c r="E100" s="500" t="str">
        <f>HYPERLINK("#目录!A192","跳转回到目录页")</f>
        <v>跳转回到目录页</v>
      </c>
      <c r="F100" s="501"/>
    </row>
    <row r="101" spans="1:13" s="88" customFormat="1" ht="26.25" customHeight="1">
      <c r="A101" s="502" t="s">
        <v>1216</v>
      </c>
      <c r="B101" s="502"/>
      <c r="C101" s="503" t="s">
        <v>329</v>
      </c>
      <c r="D101" s="503"/>
      <c r="E101" s="503"/>
      <c r="F101" s="503"/>
      <c r="G101" s="503"/>
      <c r="H101" s="503"/>
      <c r="I101" s="503"/>
      <c r="J101" s="503"/>
      <c r="K101" s="503"/>
      <c r="L101" s="503"/>
      <c r="M101" s="503"/>
    </row>
    <row r="102" spans="1:13" s="88" customFormat="1" ht="16.5" customHeight="1">
      <c r="A102" s="496" t="s">
        <v>1217</v>
      </c>
      <c r="B102" s="496"/>
      <c r="C102" s="493" t="s">
        <v>3152</v>
      </c>
      <c r="D102" s="493"/>
      <c r="E102" s="493"/>
      <c r="F102" s="493"/>
      <c r="G102" s="493"/>
      <c r="H102" s="493"/>
      <c r="I102" s="493"/>
      <c r="J102" s="493"/>
      <c r="K102" s="493"/>
      <c r="L102" s="493"/>
      <c r="M102" s="493"/>
    </row>
    <row r="103" spans="1:13" s="88" customFormat="1" ht="16.5" customHeight="1">
      <c r="A103" s="496" t="s">
        <v>5786</v>
      </c>
      <c r="B103" s="496"/>
      <c r="C103" s="497" t="s">
        <v>3130</v>
      </c>
      <c r="D103" s="497"/>
      <c r="E103" s="497"/>
      <c r="F103" s="497"/>
      <c r="G103" s="497"/>
      <c r="H103" s="497"/>
      <c r="I103" s="497"/>
      <c r="J103" s="497"/>
      <c r="K103" s="497"/>
      <c r="L103" s="497"/>
      <c r="M103" s="497"/>
    </row>
    <row r="104" spans="1:13" s="88" customFormat="1" ht="16.5" customHeight="1">
      <c r="A104" s="496" t="s">
        <v>1220</v>
      </c>
      <c r="B104" s="496"/>
      <c r="C104" s="493" t="s">
        <v>3153</v>
      </c>
      <c r="D104" s="493"/>
      <c r="E104" s="493"/>
      <c r="F104" s="493"/>
      <c r="G104" s="493"/>
      <c r="H104" s="493"/>
      <c r="I104" s="493"/>
      <c r="J104" s="493"/>
      <c r="K104" s="493"/>
      <c r="L104" s="493"/>
      <c r="M104" s="493"/>
    </row>
    <row r="105" spans="1:13" s="88" customFormat="1" ht="16.5" customHeight="1">
      <c r="A105" s="496" t="s">
        <v>5785</v>
      </c>
      <c r="B105" s="496"/>
      <c r="C105" s="493" t="s">
        <v>3154</v>
      </c>
      <c r="D105" s="493"/>
      <c r="E105" s="493"/>
      <c r="F105" s="493"/>
      <c r="G105" s="493"/>
      <c r="H105" s="493"/>
      <c r="I105" s="493"/>
      <c r="J105" s="493"/>
      <c r="K105" s="493"/>
      <c r="L105" s="493"/>
      <c r="M105" s="493"/>
    </row>
    <row r="106" spans="1:13" s="88" customFormat="1" ht="16.5" customHeight="1">
      <c r="A106" s="89" t="s">
        <v>1223</v>
      </c>
      <c r="B106" s="92" t="s">
        <v>3034</v>
      </c>
      <c r="C106" s="493" t="s">
        <v>3133</v>
      </c>
      <c r="D106" s="493"/>
      <c r="E106" s="493"/>
      <c r="F106" s="493"/>
      <c r="G106" s="493"/>
      <c r="H106" s="493"/>
      <c r="I106" s="493"/>
      <c r="J106" s="493"/>
      <c r="K106" s="493"/>
      <c r="L106" s="493"/>
      <c r="M106" s="493"/>
    </row>
    <row r="107" spans="1:13" s="88" customFormat="1" ht="16.5" customHeight="1">
      <c r="A107" s="89"/>
      <c r="B107" s="92" t="s">
        <v>3134</v>
      </c>
      <c r="C107" s="493" t="s">
        <v>3135</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37.5" customHeight="1">
      <c r="A110" s="89" t="s">
        <v>1229</v>
      </c>
      <c r="B110" s="493" t="s">
        <v>3136</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3" spans="1:2">
      <c r="A113" s="94" t="s">
        <v>1232</v>
      </c>
      <c r="B113" s="93" t="s">
        <v>1773</v>
      </c>
    </row>
    <row r="115" spans="1:2" ht="16.5" customHeight="1">
      <c r="B115" s="93" t="s">
        <v>3155</v>
      </c>
    </row>
    <row r="200" spans="1:13" s="88" customFormat="1" ht="26.25" customHeight="1">
      <c r="A200" s="498" t="s">
        <v>330</v>
      </c>
      <c r="B200" s="498"/>
      <c r="C200" s="499"/>
      <c r="D200" s="87"/>
      <c r="E200" s="500" t="str">
        <f>HYPERLINK("#目录!A193","跳转回到目录页")</f>
        <v>跳转回到目录页</v>
      </c>
      <c r="F200" s="501"/>
    </row>
    <row r="201" spans="1:13" s="88" customFormat="1" ht="26.25" customHeight="1">
      <c r="A201" s="502" t="s">
        <v>1216</v>
      </c>
      <c r="B201" s="502"/>
      <c r="C201" s="503" t="s">
        <v>331</v>
      </c>
      <c r="D201" s="503"/>
      <c r="E201" s="503"/>
      <c r="F201" s="503"/>
      <c r="G201" s="503"/>
      <c r="H201" s="503"/>
      <c r="I201" s="503"/>
      <c r="J201" s="503"/>
      <c r="K201" s="503"/>
      <c r="L201" s="503"/>
      <c r="M201" s="503"/>
    </row>
    <row r="202" spans="1:13" s="88" customFormat="1" ht="16.5" customHeight="1">
      <c r="A202" s="496" t="s">
        <v>1217</v>
      </c>
      <c r="B202" s="496"/>
      <c r="C202" s="493" t="s">
        <v>3156</v>
      </c>
      <c r="D202" s="493"/>
      <c r="E202" s="493"/>
      <c r="F202" s="493"/>
      <c r="G202" s="493"/>
      <c r="H202" s="493"/>
      <c r="I202" s="493"/>
      <c r="J202" s="493"/>
      <c r="K202" s="493"/>
      <c r="L202" s="493"/>
      <c r="M202" s="493"/>
    </row>
    <row r="203" spans="1:13" s="88" customFormat="1" ht="16.5" customHeight="1">
      <c r="A203" s="496" t="s">
        <v>5786</v>
      </c>
      <c r="B203" s="496"/>
      <c r="C203" s="497" t="s">
        <v>3157</v>
      </c>
      <c r="D203" s="497"/>
      <c r="E203" s="497"/>
      <c r="F203" s="497"/>
      <c r="G203" s="497"/>
      <c r="H203" s="497"/>
      <c r="I203" s="497"/>
      <c r="J203" s="497"/>
      <c r="K203" s="497"/>
      <c r="L203" s="497"/>
      <c r="M203" s="497"/>
    </row>
    <row r="204" spans="1:13" s="88" customFormat="1" ht="16.5" customHeight="1">
      <c r="A204" s="496" t="s">
        <v>1220</v>
      </c>
      <c r="B204" s="496"/>
      <c r="C204" s="613" t="s">
        <v>3158</v>
      </c>
      <c r="D204" s="613"/>
      <c r="E204" s="613"/>
      <c r="F204" s="613"/>
      <c r="G204" s="613"/>
      <c r="H204" s="613"/>
      <c r="I204" s="613"/>
      <c r="J204" s="613"/>
      <c r="K204" s="613"/>
      <c r="L204" s="613"/>
      <c r="M204" s="613"/>
    </row>
    <row r="205" spans="1:13" s="88" customFormat="1" ht="16.5" customHeight="1">
      <c r="A205" s="496" t="s">
        <v>5785</v>
      </c>
      <c r="B205" s="496"/>
      <c r="C205" s="613" t="s">
        <v>5915</v>
      </c>
      <c r="D205" s="613"/>
      <c r="E205" s="613"/>
      <c r="F205" s="613"/>
      <c r="G205" s="613"/>
      <c r="H205" s="613"/>
      <c r="I205" s="613"/>
      <c r="J205" s="613"/>
      <c r="K205" s="613"/>
      <c r="L205" s="613"/>
      <c r="M205" s="613"/>
    </row>
    <row r="206" spans="1:13" s="88" customFormat="1" ht="16.5" customHeight="1">
      <c r="A206" s="89" t="s">
        <v>1223</v>
      </c>
      <c r="B206" s="92" t="s">
        <v>3034</v>
      </c>
      <c r="C206" s="493" t="s">
        <v>3133</v>
      </c>
      <c r="D206" s="493"/>
      <c r="E206" s="493"/>
      <c r="F206" s="493"/>
      <c r="G206" s="493"/>
      <c r="H206" s="493"/>
      <c r="I206" s="493"/>
      <c r="J206" s="493"/>
      <c r="K206" s="493"/>
      <c r="L206" s="493"/>
      <c r="M206" s="493"/>
    </row>
    <row r="207" spans="1:13" s="88" customFormat="1" ht="16.5" customHeight="1">
      <c r="A207" s="89"/>
      <c r="B207" s="92" t="s">
        <v>3134</v>
      </c>
      <c r="C207" s="493" t="s">
        <v>3159</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39.75" customHeight="1">
      <c r="A210" s="89" t="s">
        <v>1229</v>
      </c>
      <c r="B210" s="493" t="s">
        <v>3160</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ht="16.5" customHeight="1"/>
    <row r="213" spans="1:13" ht="16.5" customHeight="1">
      <c r="A213" s="94" t="s">
        <v>1232</v>
      </c>
      <c r="B213" s="93" t="s">
        <v>1773</v>
      </c>
    </row>
    <row r="214" spans="1:13" ht="16.5" customHeight="1"/>
    <row r="215" spans="1:13" ht="16.5" customHeight="1"/>
    <row r="216" spans="1:13" ht="16.5" customHeight="1">
      <c r="B216" s="93"/>
      <c r="C216" s="93"/>
      <c r="D216" s="94" t="s">
        <v>1431</v>
      </c>
      <c r="E216" s="104" t="s">
        <v>1238</v>
      </c>
      <c r="G216" s="93" t="s">
        <v>27</v>
      </c>
    </row>
    <row r="217" spans="1:13" ht="16.5" customHeight="1">
      <c r="B217" s="482" t="s">
        <v>1861</v>
      </c>
      <c r="C217" s="504"/>
      <c r="D217" s="138" t="str">
        <f>RIGHT(B217,5)</f>
        <v>家居生活馆</v>
      </c>
      <c r="E217" s="108" t="s">
        <v>5916</v>
      </c>
      <c r="G217" s="93" t="s">
        <v>3161</v>
      </c>
    </row>
    <row r="218" spans="1:13" ht="16.5" customHeight="1">
      <c r="B218" s="484" t="s">
        <v>1861</v>
      </c>
      <c r="C218" s="489"/>
      <c r="D218" s="107" t="str">
        <f>RIGHT(B218,3)</f>
        <v>生活馆</v>
      </c>
      <c r="E218" s="108" t="s">
        <v>5917</v>
      </c>
      <c r="F218" s="18"/>
      <c r="G218" s="93" t="s">
        <v>3162</v>
      </c>
    </row>
    <row r="219" spans="1:13" ht="16.5" customHeight="1">
      <c r="F219" s="189"/>
    </row>
    <row r="220" spans="1:13" ht="16.5" customHeight="1">
      <c r="F220" s="189"/>
    </row>
    <row r="221" spans="1:13" ht="16.5" customHeight="1"/>
    <row r="223" spans="1:13">
      <c r="G223" s="18"/>
    </row>
    <row r="225" spans="7:7">
      <c r="G225" s="18"/>
    </row>
    <row r="227" spans="7:7">
      <c r="G227" s="18"/>
    </row>
    <row r="300" spans="1:13" s="88" customFormat="1" ht="26.25" customHeight="1">
      <c r="A300" s="498" t="s">
        <v>332</v>
      </c>
      <c r="B300" s="498"/>
      <c r="C300" s="499"/>
      <c r="D300" s="87"/>
      <c r="E300" s="500" t="str">
        <f>HYPERLINK("#目录!A194","跳转回到目录页")</f>
        <v>跳转回到目录页</v>
      </c>
      <c r="F300" s="501"/>
    </row>
    <row r="301" spans="1:13" s="88" customFormat="1" ht="26.25" customHeight="1">
      <c r="A301" s="502" t="s">
        <v>1216</v>
      </c>
      <c r="B301" s="502"/>
      <c r="C301" s="503" t="s">
        <v>329</v>
      </c>
      <c r="D301" s="503"/>
      <c r="E301" s="503"/>
      <c r="F301" s="503"/>
      <c r="G301" s="503"/>
      <c r="H301" s="503"/>
      <c r="I301" s="503"/>
      <c r="J301" s="503"/>
      <c r="K301" s="503"/>
      <c r="L301" s="503"/>
      <c r="M301" s="503"/>
    </row>
    <row r="302" spans="1:13" s="88" customFormat="1" ht="16.5" customHeight="1">
      <c r="A302" s="496" t="s">
        <v>1217</v>
      </c>
      <c r="B302" s="496"/>
      <c r="C302" s="493" t="s">
        <v>3163</v>
      </c>
      <c r="D302" s="493"/>
      <c r="E302" s="493"/>
      <c r="F302" s="493"/>
      <c r="G302" s="493"/>
      <c r="H302" s="493"/>
      <c r="I302" s="493"/>
      <c r="J302" s="493"/>
      <c r="K302" s="493"/>
      <c r="L302" s="493"/>
      <c r="M302" s="493"/>
    </row>
    <row r="303" spans="1:13" s="88" customFormat="1" ht="16.5" customHeight="1">
      <c r="A303" s="496" t="s">
        <v>5786</v>
      </c>
      <c r="B303" s="496"/>
      <c r="C303" s="497" t="s">
        <v>3157</v>
      </c>
      <c r="D303" s="497"/>
      <c r="E303" s="497"/>
      <c r="F303" s="497"/>
      <c r="G303" s="497"/>
      <c r="H303" s="497"/>
      <c r="I303" s="497"/>
      <c r="J303" s="497"/>
      <c r="K303" s="497"/>
      <c r="L303" s="497"/>
      <c r="M303" s="497"/>
    </row>
    <row r="304" spans="1:13" s="88" customFormat="1" ht="16.5" customHeight="1">
      <c r="A304" s="496" t="s">
        <v>1220</v>
      </c>
      <c r="B304" s="496"/>
      <c r="C304" s="493" t="s">
        <v>3164</v>
      </c>
      <c r="D304" s="493"/>
      <c r="E304" s="493"/>
      <c r="F304" s="493"/>
      <c r="G304" s="493"/>
      <c r="H304" s="493"/>
      <c r="I304" s="493"/>
      <c r="J304" s="493"/>
      <c r="K304" s="493"/>
      <c r="L304" s="493"/>
      <c r="M304" s="493"/>
    </row>
    <row r="305" spans="1:13" s="88" customFormat="1" ht="16.5" customHeight="1">
      <c r="A305" s="496" t="s">
        <v>5785</v>
      </c>
      <c r="B305" s="496"/>
      <c r="C305" s="493" t="s">
        <v>3165</v>
      </c>
      <c r="D305" s="493"/>
      <c r="E305" s="493"/>
      <c r="F305" s="493"/>
      <c r="G305" s="493"/>
      <c r="H305" s="493"/>
      <c r="I305" s="493"/>
      <c r="J305" s="493"/>
      <c r="K305" s="493"/>
      <c r="L305" s="493"/>
      <c r="M305" s="493"/>
    </row>
    <row r="306" spans="1:13" s="88" customFormat="1" ht="16.5" customHeight="1">
      <c r="A306" s="89" t="s">
        <v>1223</v>
      </c>
      <c r="B306" s="92" t="s">
        <v>3166</v>
      </c>
      <c r="C306" s="493" t="s">
        <v>3133</v>
      </c>
      <c r="D306" s="493"/>
      <c r="E306" s="493"/>
      <c r="F306" s="493"/>
      <c r="G306" s="493"/>
      <c r="H306" s="493"/>
      <c r="I306" s="493"/>
      <c r="J306" s="493"/>
      <c r="K306" s="493"/>
      <c r="L306" s="493"/>
      <c r="M306" s="493"/>
    </row>
    <row r="307" spans="1:13" s="88" customFormat="1" ht="16.5" customHeight="1">
      <c r="A307" s="89"/>
      <c r="B307" s="92" t="s">
        <v>3167</v>
      </c>
      <c r="C307" s="493" t="s">
        <v>3168</v>
      </c>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16.5" customHeight="1">
      <c r="A310" s="89" t="s">
        <v>1229</v>
      </c>
      <c r="B310" s="493"/>
      <c r="C310" s="493"/>
      <c r="D310" s="493"/>
      <c r="E310" s="493"/>
      <c r="F310" s="493"/>
      <c r="G310" s="493"/>
      <c r="H310" s="493"/>
      <c r="I310" s="493"/>
      <c r="J310" s="493"/>
      <c r="K310" s="493"/>
      <c r="L310" s="493"/>
      <c r="M310" s="493"/>
    </row>
    <row r="311" spans="1:13" ht="21" customHeight="1">
      <c r="B311" s="494" t="s">
        <v>2863</v>
      </c>
      <c r="C311" s="494"/>
      <c r="D311" s="494"/>
      <c r="E311" s="494"/>
      <c r="F311" s="494"/>
      <c r="G311" s="494"/>
      <c r="H311" s="494"/>
      <c r="I311" s="494"/>
      <c r="J311" s="494"/>
      <c r="K311" s="494"/>
      <c r="L311" s="495"/>
    </row>
    <row r="314" spans="1:13" ht="16.5" customHeight="1">
      <c r="B314" s="93" t="s">
        <v>3169</v>
      </c>
    </row>
    <row r="400" spans="1:6" s="88" customFormat="1" ht="26.25" customHeight="1">
      <c r="A400" s="498" t="s">
        <v>333</v>
      </c>
      <c r="B400" s="498"/>
      <c r="C400" s="499"/>
      <c r="D400" s="87"/>
      <c r="E400" s="500" t="str">
        <f>HYPERLINK("#目录!A195","跳转回到目录页")</f>
        <v>跳转回到目录页</v>
      </c>
      <c r="F400" s="501"/>
    </row>
    <row r="401" spans="1:13" s="88" customFormat="1" ht="26.25" customHeight="1">
      <c r="A401" s="502" t="s">
        <v>1216</v>
      </c>
      <c r="B401" s="502"/>
      <c r="C401" s="503" t="s">
        <v>334</v>
      </c>
      <c r="D401" s="503"/>
      <c r="E401" s="503"/>
      <c r="F401" s="503"/>
      <c r="G401" s="503"/>
      <c r="H401" s="503"/>
      <c r="I401" s="503"/>
      <c r="J401" s="503"/>
      <c r="K401" s="503"/>
      <c r="L401" s="503"/>
      <c r="M401" s="503"/>
    </row>
    <row r="402" spans="1:13" s="88" customFormat="1" ht="16.5" customHeight="1">
      <c r="A402" s="496" t="s">
        <v>1217</v>
      </c>
      <c r="B402" s="496"/>
      <c r="C402" s="493" t="s">
        <v>3170</v>
      </c>
      <c r="D402" s="493"/>
      <c r="E402" s="493"/>
      <c r="F402" s="493"/>
      <c r="G402" s="493"/>
      <c r="H402" s="493"/>
      <c r="I402" s="493"/>
      <c r="J402" s="493"/>
      <c r="K402" s="493"/>
      <c r="L402" s="493"/>
      <c r="M402" s="493"/>
    </row>
    <row r="403" spans="1:13" s="88" customFormat="1" ht="16.5" customHeight="1">
      <c r="A403" s="496" t="s">
        <v>5786</v>
      </c>
      <c r="B403" s="496"/>
      <c r="C403" s="497" t="s">
        <v>3171</v>
      </c>
      <c r="D403" s="497"/>
      <c r="E403" s="497"/>
      <c r="F403" s="497"/>
      <c r="G403" s="497"/>
      <c r="H403" s="497"/>
      <c r="I403" s="497"/>
      <c r="J403" s="497"/>
      <c r="K403" s="497"/>
      <c r="L403" s="497"/>
      <c r="M403" s="497"/>
    </row>
    <row r="404" spans="1:13" s="88" customFormat="1" ht="16.5" customHeight="1">
      <c r="A404" s="496" t="s">
        <v>1220</v>
      </c>
      <c r="B404" s="496"/>
      <c r="C404" s="493" t="s">
        <v>3172</v>
      </c>
      <c r="D404" s="493"/>
      <c r="E404" s="493"/>
      <c r="F404" s="493"/>
      <c r="G404" s="493"/>
      <c r="H404" s="493"/>
      <c r="I404" s="493"/>
      <c r="J404" s="493"/>
      <c r="K404" s="493"/>
      <c r="L404" s="493"/>
      <c r="M404" s="493"/>
    </row>
    <row r="405" spans="1:13" s="88" customFormat="1" ht="16.5" customHeight="1">
      <c r="A405" s="496" t="s">
        <v>5785</v>
      </c>
      <c r="B405" s="496"/>
      <c r="C405" s="493" t="s">
        <v>3173</v>
      </c>
      <c r="D405" s="493"/>
      <c r="E405" s="493"/>
      <c r="F405" s="493"/>
      <c r="G405" s="493"/>
      <c r="H405" s="493"/>
      <c r="I405" s="493"/>
      <c r="J405" s="493"/>
      <c r="K405" s="493"/>
      <c r="L405" s="493"/>
      <c r="M405" s="493"/>
    </row>
    <row r="406" spans="1:13" s="88" customFormat="1" ht="16.5" customHeight="1">
      <c r="A406" s="89" t="s">
        <v>1223</v>
      </c>
      <c r="B406" s="92" t="s">
        <v>3034</v>
      </c>
      <c r="C406" s="493" t="s">
        <v>3133</v>
      </c>
      <c r="D406" s="493"/>
      <c r="E406" s="493"/>
      <c r="F406" s="493"/>
      <c r="G406" s="493"/>
      <c r="H406" s="493"/>
      <c r="I406" s="493"/>
      <c r="J406" s="493"/>
      <c r="K406" s="493"/>
      <c r="L406" s="493"/>
      <c r="M406" s="493"/>
    </row>
    <row r="407" spans="1:13" s="88" customFormat="1" ht="16.5" customHeight="1">
      <c r="A407" s="89"/>
      <c r="B407" s="92" t="s">
        <v>3174</v>
      </c>
      <c r="C407" s="493" t="s">
        <v>3175</v>
      </c>
      <c r="D407" s="493"/>
      <c r="E407" s="493"/>
      <c r="F407" s="493"/>
      <c r="G407" s="493"/>
      <c r="H407" s="493"/>
      <c r="I407" s="493"/>
      <c r="J407" s="493"/>
      <c r="K407" s="493"/>
      <c r="L407" s="493"/>
      <c r="M407" s="493"/>
    </row>
    <row r="408" spans="1:13" s="88" customFormat="1" ht="16.5" customHeight="1">
      <c r="A408" s="89"/>
      <c r="B408" s="90" t="s">
        <v>3134</v>
      </c>
      <c r="C408" s="493" t="s">
        <v>3176</v>
      </c>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51" customHeight="1">
      <c r="A410" s="89" t="s">
        <v>1229</v>
      </c>
      <c r="B410" s="493" t="s">
        <v>3177</v>
      </c>
      <c r="C410" s="493"/>
      <c r="D410" s="493"/>
      <c r="E410" s="493"/>
      <c r="F410" s="493"/>
      <c r="G410" s="493"/>
      <c r="H410" s="493"/>
      <c r="I410" s="493"/>
      <c r="J410" s="493"/>
      <c r="K410" s="493"/>
      <c r="L410" s="493"/>
      <c r="M410" s="493"/>
    </row>
    <row r="411" spans="1:13" ht="21" customHeight="1">
      <c r="B411" s="494" t="s">
        <v>2863</v>
      </c>
      <c r="C411" s="494"/>
      <c r="D411" s="494"/>
      <c r="E411" s="494"/>
      <c r="F411" s="494"/>
      <c r="G411" s="494"/>
      <c r="H411" s="494"/>
      <c r="I411" s="494"/>
      <c r="J411" s="494"/>
      <c r="K411" s="494"/>
      <c r="L411" s="495"/>
    </row>
    <row r="412" spans="1:13" ht="16.5" customHeight="1"/>
    <row r="413" spans="1:13" ht="16.5" customHeight="1">
      <c r="A413" s="94" t="s">
        <v>1232</v>
      </c>
      <c r="B413" s="93" t="s">
        <v>1773</v>
      </c>
    </row>
    <row r="414" spans="1:13" ht="16.5" customHeight="1"/>
    <row r="415" spans="1:13" ht="16.5" customHeight="1"/>
    <row r="416" spans="1:13" ht="16.5" customHeight="1">
      <c r="B416" s="93"/>
      <c r="C416" s="93"/>
      <c r="D416" s="94" t="s">
        <v>1431</v>
      </c>
      <c r="E416" s="104" t="s">
        <v>1238</v>
      </c>
      <c r="G416" s="93" t="s">
        <v>27</v>
      </c>
    </row>
    <row r="417" spans="2:7" ht="16.5" customHeight="1">
      <c r="B417" s="482" t="s">
        <v>1861</v>
      </c>
      <c r="C417" s="504"/>
      <c r="D417" s="138" t="str">
        <f>MID(B417,5,2)</f>
        <v>家居</v>
      </c>
      <c r="E417" s="108" t="s">
        <v>5918</v>
      </c>
      <c r="G417" s="93" t="s">
        <v>3178</v>
      </c>
    </row>
    <row r="418" spans="2:7" ht="16.5" customHeight="1">
      <c r="B418" s="484" t="s">
        <v>1861</v>
      </c>
      <c r="C418" s="489"/>
      <c r="D418" s="107" t="str">
        <f>MID(B418,3,4)</f>
        <v>每女家居</v>
      </c>
      <c r="E418" s="108" t="s">
        <v>5919</v>
      </c>
      <c r="F418" s="18"/>
      <c r="G418" s="93" t="s">
        <v>3179</v>
      </c>
    </row>
    <row r="419" spans="2:7" ht="16.5" customHeight="1">
      <c r="F419" s="189"/>
    </row>
    <row r="420" spans="2:7" ht="16.5" customHeight="1">
      <c r="F420" s="189"/>
    </row>
    <row r="421" spans="2:7">
      <c r="F421" s="189"/>
    </row>
    <row r="423" spans="2:7">
      <c r="F423" s="18"/>
    </row>
    <row r="425" spans="2:7">
      <c r="F425" s="18"/>
    </row>
    <row r="427" spans="2:7">
      <c r="F427" s="18"/>
    </row>
    <row r="500" spans="1:13" s="88" customFormat="1" ht="26.25" customHeight="1">
      <c r="A500" s="498" t="s">
        <v>335</v>
      </c>
      <c r="B500" s="498"/>
      <c r="C500" s="499"/>
      <c r="D500" s="87"/>
      <c r="E500" s="500" t="str">
        <f>HYPERLINK("#目录!A196","跳转回到目录页")</f>
        <v>跳转回到目录页</v>
      </c>
      <c r="F500" s="501"/>
    </row>
    <row r="501" spans="1:13" s="88" customFormat="1" ht="26.25" customHeight="1">
      <c r="A501" s="502" t="s">
        <v>1216</v>
      </c>
      <c r="B501" s="502"/>
      <c r="C501" s="503" t="s">
        <v>336</v>
      </c>
      <c r="D501" s="503"/>
      <c r="E501" s="503"/>
      <c r="F501" s="503"/>
      <c r="G501" s="503"/>
      <c r="H501" s="503"/>
      <c r="I501" s="503"/>
      <c r="J501" s="503"/>
      <c r="K501" s="503"/>
      <c r="L501" s="503"/>
      <c r="M501" s="503"/>
    </row>
    <row r="502" spans="1:13" s="88" customFormat="1" ht="16.5" customHeight="1">
      <c r="A502" s="496" t="s">
        <v>1217</v>
      </c>
      <c r="B502" s="496"/>
      <c r="C502" s="493" t="s">
        <v>3180</v>
      </c>
      <c r="D502" s="493"/>
      <c r="E502" s="493"/>
      <c r="F502" s="493"/>
      <c r="G502" s="493"/>
      <c r="H502" s="493"/>
      <c r="I502" s="493"/>
      <c r="J502" s="493"/>
      <c r="K502" s="493"/>
      <c r="L502" s="493"/>
      <c r="M502" s="493"/>
    </row>
    <row r="503" spans="1:13" s="88" customFormat="1" ht="16.5" customHeight="1">
      <c r="A503" s="496" t="s">
        <v>5786</v>
      </c>
      <c r="B503" s="496"/>
      <c r="C503" s="497" t="s">
        <v>336</v>
      </c>
      <c r="D503" s="497"/>
      <c r="E503" s="497"/>
      <c r="F503" s="497"/>
      <c r="G503" s="497"/>
      <c r="H503" s="497"/>
      <c r="I503" s="497"/>
      <c r="J503" s="497"/>
      <c r="K503" s="497"/>
      <c r="L503" s="497"/>
      <c r="M503" s="497"/>
    </row>
    <row r="504" spans="1:13" s="88" customFormat="1" ht="16.5" customHeight="1">
      <c r="A504" s="496" t="s">
        <v>1220</v>
      </c>
      <c r="B504" s="496"/>
      <c r="C504" s="493" t="s">
        <v>3181</v>
      </c>
      <c r="D504" s="493"/>
      <c r="E504" s="493"/>
      <c r="F504" s="493"/>
      <c r="G504" s="493"/>
      <c r="H504" s="493"/>
      <c r="I504" s="493"/>
      <c r="J504" s="493"/>
      <c r="K504" s="493"/>
      <c r="L504" s="493"/>
      <c r="M504" s="493"/>
    </row>
    <row r="505" spans="1:13" s="88" customFormat="1" ht="16.5" customHeight="1">
      <c r="A505" s="496" t="s">
        <v>5785</v>
      </c>
      <c r="B505" s="496"/>
      <c r="C505" s="493" t="s">
        <v>3182</v>
      </c>
      <c r="D505" s="493"/>
      <c r="E505" s="493"/>
      <c r="F505" s="493"/>
      <c r="G505" s="493"/>
      <c r="H505" s="493"/>
      <c r="I505" s="493"/>
      <c r="J505" s="493"/>
      <c r="K505" s="493"/>
      <c r="L505" s="493"/>
      <c r="M505" s="493"/>
    </row>
    <row r="506" spans="1:13" s="88" customFormat="1" ht="16.5" customHeight="1">
      <c r="A506" s="89" t="s">
        <v>1223</v>
      </c>
      <c r="B506" s="92" t="s">
        <v>3034</v>
      </c>
      <c r="C506" s="493" t="s">
        <v>3133</v>
      </c>
      <c r="D506" s="493"/>
      <c r="E506" s="493"/>
      <c r="F506" s="493"/>
      <c r="G506" s="493"/>
      <c r="H506" s="493"/>
      <c r="I506" s="493"/>
      <c r="J506" s="493"/>
      <c r="K506" s="493"/>
      <c r="L506" s="493"/>
      <c r="M506" s="493"/>
    </row>
    <row r="507" spans="1:13" s="88" customFormat="1" ht="16.5" customHeight="1">
      <c r="A507" s="89"/>
      <c r="B507" s="92" t="s">
        <v>3174</v>
      </c>
      <c r="C507" s="493" t="s">
        <v>3175</v>
      </c>
      <c r="D507" s="493"/>
      <c r="E507" s="493"/>
      <c r="F507" s="493"/>
      <c r="G507" s="493"/>
      <c r="H507" s="493"/>
      <c r="I507" s="493"/>
      <c r="J507" s="493"/>
      <c r="K507" s="493"/>
      <c r="L507" s="493"/>
      <c r="M507" s="493"/>
    </row>
    <row r="508" spans="1:13" s="88" customFormat="1" ht="16.5" customHeight="1">
      <c r="A508" s="89"/>
      <c r="B508" s="90" t="s">
        <v>3167</v>
      </c>
      <c r="C508" s="493" t="s">
        <v>3183</v>
      </c>
      <c r="D508" s="493"/>
      <c r="E508" s="493"/>
      <c r="F508" s="493"/>
      <c r="G508" s="493"/>
      <c r="H508" s="493"/>
      <c r="I508" s="493"/>
      <c r="J508" s="493"/>
      <c r="K508" s="493"/>
      <c r="L508" s="493"/>
      <c r="M508" s="493"/>
    </row>
    <row r="509" spans="1:13" s="88" customFormat="1" ht="16.5" customHeight="1">
      <c r="A509" s="89" t="s">
        <v>1228</v>
      </c>
      <c r="B509" s="493"/>
      <c r="C509" s="493"/>
      <c r="D509" s="493"/>
      <c r="E509" s="493"/>
      <c r="F509" s="493"/>
      <c r="G509" s="493"/>
      <c r="H509" s="493"/>
      <c r="I509" s="493"/>
      <c r="J509" s="493"/>
      <c r="K509" s="493"/>
      <c r="L509" s="493"/>
      <c r="M509" s="493"/>
    </row>
    <row r="510" spans="1:13" ht="49.5" customHeight="1">
      <c r="A510" s="89" t="s">
        <v>1229</v>
      </c>
      <c r="B510" s="493" t="s">
        <v>3184</v>
      </c>
      <c r="C510" s="493"/>
      <c r="D510" s="493"/>
      <c r="E510" s="493"/>
      <c r="F510" s="493"/>
      <c r="G510" s="493"/>
      <c r="H510" s="493"/>
      <c r="I510" s="493"/>
      <c r="J510" s="493"/>
      <c r="K510" s="493"/>
      <c r="L510" s="493"/>
      <c r="M510" s="493"/>
    </row>
    <row r="511" spans="1:13" ht="21" customHeight="1">
      <c r="B511" s="494" t="s">
        <v>2863</v>
      </c>
      <c r="C511" s="494"/>
      <c r="D511" s="494"/>
      <c r="E511" s="494"/>
      <c r="F511" s="494"/>
      <c r="G511" s="494"/>
      <c r="H511" s="494"/>
      <c r="I511" s="494"/>
      <c r="J511" s="494"/>
      <c r="K511" s="494"/>
      <c r="L511" s="495"/>
    </row>
    <row r="514" spans="2:2" ht="16.5" customHeight="1">
      <c r="B514" s="93" t="s">
        <v>3185</v>
      </c>
    </row>
  </sheetData>
  <mergeCells count="115">
    <mergeCell ref="A1:C1"/>
    <mergeCell ref="E1:F1"/>
    <mergeCell ref="A2:B2"/>
    <mergeCell ref="C2:M2"/>
    <mergeCell ref="A3:B3"/>
    <mergeCell ref="C3:M3"/>
    <mergeCell ref="C7:M7"/>
    <mergeCell ref="C8:M8"/>
    <mergeCell ref="C9:M9"/>
    <mergeCell ref="B10:M10"/>
    <mergeCell ref="B11:M11"/>
    <mergeCell ref="B12:L12"/>
    <mergeCell ref="A4:B4"/>
    <mergeCell ref="C4:M4"/>
    <mergeCell ref="A5:B5"/>
    <mergeCell ref="C5:M5"/>
    <mergeCell ref="A6:B6"/>
    <mergeCell ref="C6:M6"/>
    <mergeCell ref="A102:B102"/>
    <mergeCell ref="C102:M102"/>
    <mergeCell ref="A103:B103"/>
    <mergeCell ref="C103:M103"/>
    <mergeCell ref="A104:B104"/>
    <mergeCell ref="C104:M104"/>
    <mergeCell ref="B17:C17"/>
    <mergeCell ref="B18:C18"/>
    <mergeCell ref="B19:C19"/>
    <mergeCell ref="A100:C100"/>
    <mergeCell ref="E100:F100"/>
    <mergeCell ref="A101:B101"/>
    <mergeCell ref="C101:M101"/>
    <mergeCell ref="B110:M110"/>
    <mergeCell ref="B111:L111"/>
    <mergeCell ref="A200:C200"/>
    <mergeCell ref="E200:F200"/>
    <mergeCell ref="A201:B201"/>
    <mergeCell ref="C201:M201"/>
    <mergeCell ref="A105:B105"/>
    <mergeCell ref="C105:M105"/>
    <mergeCell ref="C106:M106"/>
    <mergeCell ref="C107:M107"/>
    <mergeCell ref="C108:M108"/>
    <mergeCell ref="B109:M109"/>
    <mergeCell ref="A205:B205"/>
    <mergeCell ref="C205:M205"/>
    <mergeCell ref="C206:M206"/>
    <mergeCell ref="C207:M207"/>
    <mergeCell ref="C208:M208"/>
    <mergeCell ref="B209:M209"/>
    <mergeCell ref="A202:B202"/>
    <mergeCell ref="C202:M202"/>
    <mergeCell ref="A203:B203"/>
    <mergeCell ref="C203:M203"/>
    <mergeCell ref="A204:B204"/>
    <mergeCell ref="C204:M204"/>
    <mergeCell ref="A301:B301"/>
    <mergeCell ref="C301:M301"/>
    <mergeCell ref="A302:B302"/>
    <mergeCell ref="C302:M302"/>
    <mergeCell ref="A303:B303"/>
    <mergeCell ref="C303:M303"/>
    <mergeCell ref="B210:M210"/>
    <mergeCell ref="B211:L211"/>
    <mergeCell ref="B217:C217"/>
    <mergeCell ref="B218:C218"/>
    <mergeCell ref="A300:C300"/>
    <mergeCell ref="E300:F300"/>
    <mergeCell ref="C308:M308"/>
    <mergeCell ref="B309:M309"/>
    <mergeCell ref="B310:M310"/>
    <mergeCell ref="B311:L311"/>
    <mergeCell ref="A400:C400"/>
    <mergeCell ref="E400:F400"/>
    <mergeCell ref="A304:B304"/>
    <mergeCell ref="C304:M304"/>
    <mergeCell ref="A305:B305"/>
    <mergeCell ref="C305:M305"/>
    <mergeCell ref="C306:M306"/>
    <mergeCell ref="C307:M307"/>
    <mergeCell ref="A404:B404"/>
    <mergeCell ref="C404:M404"/>
    <mergeCell ref="A405:B405"/>
    <mergeCell ref="C405:M405"/>
    <mergeCell ref="C406:M406"/>
    <mergeCell ref="C407:M407"/>
    <mergeCell ref="A401:B401"/>
    <mergeCell ref="C401:M401"/>
    <mergeCell ref="A402:B402"/>
    <mergeCell ref="C402:M402"/>
    <mergeCell ref="A403:B403"/>
    <mergeCell ref="C403:M403"/>
    <mergeCell ref="A500:C500"/>
    <mergeCell ref="E500:F500"/>
    <mergeCell ref="A501:B501"/>
    <mergeCell ref="C501:M501"/>
    <mergeCell ref="A502:B502"/>
    <mergeCell ref="C502:M502"/>
    <mergeCell ref="C408:M408"/>
    <mergeCell ref="B409:M409"/>
    <mergeCell ref="B410:M410"/>
    <mergeCell ref="B411:L411"/>
    <mergeCell ref="B417:C417"/>
    <mergeCell ref="B418:C418"/>
    <mergeCell ref="C506:M506"/>
    <mergeCell ref="C507:M507"/>
    <mergeCell ref="C508:M508"/>
    <mergeCell ref="B509:M509"/>
    <mergeCell ref="B510:M510"/>
    <mergeCell ref="B511:L511"/>
    <mergeCell ref="A503:B503"/>
    <mergeCell ref="C503:M503"/>
    <mergeCell ref="A504:B504"/>
    <mergeCell ref="C504:M504"/>
    <mergeCell ref="A505:B505"/>
    <mergeCell ref="C505:M505"/>
  </mergeCells>
  <phoneticPr fontId="2" type="noConversion"/>
  <pageMargins left="0.75" right="0.75" top="1" bottom="1" header="0.5" footer="0.5"/>
  <headerFooter scaleWithDoc="0" alignWithMargins="0"/>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V316"/>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338</v>
      </c>
      <c r="B1" s="498"/>
      <c r="C1" s="499"/>
      <c r="D1" s="87"/>
      <c r="E1" s="500" t="str">
        <f>HYPERLINK("#目录!A198","跳转回到目录页")</f>
        <v>跳转回到目录页</v>
      </c>
      <c r="F1" s="501"/>
    </row>
    <row r="2" spans="1:48" s="88" customFormat="1" ht="26.25" customHeight="1">
      <c r="A2" s="502" t="s">
        <v>1216</v>
      </c>
      <c r="B2" s="502"/>
      <c r="C2" s="503" t="s">
        <v>3186</v>
      </c>
      <c r="D2" s="503"/>
      <c r="E2" s="503"/>
      <c r="F2" s="503"/>
      <c r="G2" s="503"/>
      <c r="H2" s="503"/>
      <c r="I2" s="503"/>
      <c r="J2" s="503"/>
      <c r="K2" s="503"/>
      <c r="L2" s="503"/>
      <c r="M2" s="503"/>
    </row>
    <row r="3" spans="1:48" s="88" customFormat="1" ht="29.25" customHeight="1">
      <c r="A3" s="496" t="s">
        <v>1217</v>
      </c>
      <c r="B3" s="496"/>
      <c r="C3" s="493" t="s">
        <v>3187</v>
      </c>
      <c r="D3" s="493"/>
      <c r="E3" s="493"/>
      <c r="F3" s="493"/>
      <c r="G3" s="493"/>
      <c r="H3" s="493"/>
      <c r="I3" s="493"/>
      <c r="J3" s="493"/>
      <c r="K3" s="493"/>
      <c r="L3" s="493"/>
      <c r="M3" s="493"/>
    </row>
    <row r="4" spans="1:48" s="88" customFormat="1" ht="16.5" customHeight="1">
      <c r="A4" s="496" t="s">
        <v>5786</v>
      </c>
      <c r="B4" s="496"/>
      <c r="C4" s="497" t="s">
        <v>3188</v>
      </c>
      <c r="D4" s="497"/>
      <c r="E4" s="497"/>
      <c r="F4" s="497"/>
      <c r="G4" s="497"/>
      <c r="H4" s="497"/>
      <c r="I4" s="497"/>
      <c r="J4" s="497"/>
      <c r="K4" s="497"/>
      <c r="L4" s="497"/>
      <c r="M4" s="497"/>
    </row>
    <row r="5" spans="1:48" s="88" customFormat="1" ht="16.5" customHeight="1">
      <c r="A5" s="496" t="s">
        <v>1220</v>
      </c>
      <c r="B5" s="496"/>
      <c r="C5" s="493" t="s">
        <v>3189</v>
      </c>
      <c r="D5" s="493"/>
      <c r="E5" s="493"/>
      <c r="F5" s="493"/>
      <c r="G5" s="493"/>
      <c r="H5" s="493"/>
      <c r="I5" s="493"/>
      <c r="J5" s="493"/>
      <c r="K5" s="493"/>
      <c r="L5" s="493"/>
      <c r="M5" s="493"/>
    </row>
    <row r="6" spans="1:48" s="88" customFormat="1" ht="16.5" customHeight="1">
      <c r="A6" s="496" t="s">
        <v>5785</v>
      </c>
      <c r="B6" s="496"/>
      <c r="C6" s="493" t="s">
        <v>3190</v>
      </c>
      <c r="D6" s="493"/>
      <c r="E6" s="493"/>
      <c r="F6" s="493"/>
      <c r="G6" s="493"/>
      <c r="H6" s="493"/>
      <c r="I6" s="493"/>
      <c r="J6" s="493"/>
      <c r="K6" s="493"/>
      <c r="L6" s="493"/>
      <c r="M6" s="493"/>
    </row>
    <row r="7" spans="1:48" s="88" customFormat="1" ht="16.5" customHeight="1">
      <c r="A7" s="89" t="s">
        <v>1223</v>
      </c>
      <c r="B7" s="92" t="s">
        <v>3191</v>
      </c>
      <c r="C7" s="493" t="s">
        <v>3192</v>
      </c>
      <c r="D7" s="493"/>
      <c r="E7" s="493"/>
      <c r="F7" s="493"/>
      <c r="G7" s="493"/>
      <c r="H7" s="493"/>
      <c r="I7" s="493"/>
      <c r="J7" s="493"/>
      <c r="K7" s="493"/>
      <c r="L7" s="493"/>
      <c r="M7" s="493"/>
    </row>
    <row r="8" spans="1:48" s="88" customFormat="1" ht="16.5" customHeight="1">
      <c r="A8" s="89"/>
      <c r="B8" s="92" t="s">
        <v>3193</v>
      </c>
      <c r="C8" s="493" t="s">
        <v>3194</v>
      </c>
      <c r="D8" s="493"/>
      <c r="E8" s="493"/>
      <c r="F8" s="493"/>
      <c r="G8" s="493"/>
      <c r="H8" s="493"/>
      <c r="I8" s="493"/>
      <c r="J8" s="493"/>
      <c r="K8" s="493"/>
      <c r="L8" s="493"/>
      <c r="M8" s="493"/>
    </row>
    <row r="9" spans="1:48" s="88" customFormat="1" ht="16.5" customHeight="1">
      <c r="A9" s="89"/>
      <c r="B9" s="90" t="s">
        <v>3174</v>
      </c>
      <c r="C9" s="493" t="s">
        <v>3195</v>
      </c>
      <c r="D9" s="493"/>
      <c r="E9" s="493"/>
      <c r="F9" s="493"/>
      <c r="G9" s="493"/>
      <c r="H9" s="493"/>
      <c r="I9" s="493"/>
      <c r="J9" s="493"/>
      <c r="K9" s="493"/>
      <c r="L9" s="493"/>
      <c r="M9" s="493"/>
    </row>
    <row r="10" spans="1:48" s="88" customFormat="1" ht="37.5" customHeight="1">
      <c r="A10" s="89" t="s">
        <v>1228</v>
      </c>
      <c r="B10" s="493" t="s">
        <v>3196</v>
      </c>
      <c r="C10" s="493"/>
      <c r="D10" s="493"/>
      <c r="E10" s="493"/>
      <c r="F10" s="493"/>
      <c r="G10" s="493"/>
      <c r="H10" s="493"/>
      <c r="I10" s="493"/>
      <c r="J10" s="493"/>
      <c r="K10" s="493"/>
      <c r="L10" s="493"/>
      <c r="M10" s="493"/>
    </row>
    <row r="11" spans="1:48" ht="57.75" customHeight="1">
      <c r="A11" s="89" t="s">
        <v>1229</v>
      </c>
      <c r="B11" s="493" t="s">
        <v>3197</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D16" s="94" t="s">
        <v>1431</v>
      </c>
      <c r="E16" s="104" t="s">
        <v>1238</v>
      </c>
      <c r="F16" s="4"/>
      <c r="G16" s="94" t="s">
        <v>27</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3198</v>
      </c>
      <c r="C17" s="518"/>
      <c r="D17" s="93">
        <f>FIND("函数",B17)</f>
        <v>1</v>
      </c>
      <c r="E17" s="108" t="s">
        <v>3199</v>
      </c>
      <c r="F17" s="4"/>
      <c r="G17" s="93" t="s">
        <v>3200</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518" t="s">
        <v>3198</v>
      </c>
      <c r="C18" s="518"/>
      <c r="D18" s="93">
        <f>FIND("函数",B18,1)</f>
        <v>1</v>
      </c>
      <c r="E18" s="108" t="s">
        <v>5903</v>
      </c>
      <c r="F18" s="18"/>
      <c r="G18" s="93" t="s">
        <v>3201</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518" t="s">
        <v>3198</v>
      </c>
      <c r="C19" s="518"/>
      <c r="D19" s="93">
        <f>FIND("函数",B19,3)</f>
        <v>7</v>
      </c>
      <c r="E19" s="108" t="s">
        <v>5904</v>
      </c>
      <c r="F19" s="4"/>
      <c r="G19" s="93" t="s">
        <v>3202</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518" t="s">
        <v>3203</v>
      </c>
      <c r="C20" s="518"/>
      <c r="D20" s="93">
        <f>FIND("A",B20)</f>
        <v>5</v>
      </c>
      <c r="E20" s="108" t="s">
        <v>5905</v>
      </c>
      <c r="F20" s="4"/>
      <c r="G20" s="93" t="s">
        <v>3204</v>
      </c>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518" t="s">
        <v>3203</v>
      </c>
      <c r="C21" s="518"/>
      <c r="D21" s="93">
        <f>FIND("a",B21)</f>
        <v>12</v>
      </c>
      <c r="E21" s="108" t="s">
        <v>5906</v>
      </c>
      <c r="F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F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F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F24" s="189"/>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F25" s="189"/>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F26" s="189"/>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F27" s="189"/>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F28" s="18"/>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F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F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F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F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F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F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F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F36" s="219"/>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F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F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F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18"/>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189"/>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189"/>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339</v>
      </c>
      <c r="B100" s="498"/>
      <c r="C100" s="499"/>
      <c r="D100" s="87"/>
      <c r="E100" s="500" t="str">
        <f>HYPERLINK("#目录!A199","跳转回到目录页")</f>
        <v>跳转回到目录页</v>
      </c>
      <c r="F100" s="501"/>
    </row>
    <row r="101" spans="1:13" s="88" customFormat="1" ht="26.25" customHeight="1">
      <c r="A101" s="502" t="s">
        <v>1216</v>
      </c>
      <c r="B101" s="502"/>
      <c r="C101" s="503" t="s">
        <v>340</v>
      </c>
      <c r="D101" s="503"/>
      <c r="E101" s="503"/>
      <c r="F101" s="503"/>
      <c r="G101" s="503"/>
      <c r="H101" s="503"/>
      <c r="I101" s="503"/>
      <c r="J101" s="503"/>
      <c r="K101" s="503"/>
      <c r="L101" s="503"/>
      <c r="M101" s="503"/>
    </row>
    <row r="102" spans="1:13" s="88" customFormat="1" ht="24.75" customHeight="1">
      <c r="A102" s="496" t="s">
        <v>1217</v>
      </c>
      <c r="B102" s="496"/>
      <c r="C102" s="493" t="s">
        <v>3205</v>
      </c>
      <c r="D102" s="493"/>
      <c r="E102" s="493"/>
      <c r="F102" s="493"/>
      <c r="G102" s="493"/>
      <c r="H102" s="493"/>
      <c r="I102" s="493"/>
      <c r="J102" s="493"/>
      <c r="K102" s="493"/>
      <c r="L102" s="493"/>
      <c r="M102" s="493"/>
    </row>
    <row r="103" spans="1:13" s="88" customFormat="1" ht="16.5" customHeight="1">
      <c r="A103" s="496" t="s">
        <v>5786</v>
      </c>
      <c r="B103" s="496"/>
      <c r="C103" s="497" t="s">
        <v>3188</v>
      </c>
      <c r="D103" s="497"/>
      <c r="E103" s="497"/>
      <c r="F103" s="497"/>
      <c r="G103" s="497"/>
      <c r="H103" s="497"/>
      <c r="I103" s="497"/>
      <c r="J103" s="497"/>
      <c r="K103" s="497"/>
      <c r="L103" s="497"/>
      <c r="M103" s="497"/>
    </row>
    <row r="104" spans="1:13" s="88" customFormat="1" ht="16.5" customHeight="1">
      <c r="A104" s="496" t="s">
        <v>1220</v>
      </c>
      <c r="B104" s="496"/>
      <c r="C104" s="493" t="s">
        <v>3206</v>
      </c>
      <c r="D104" s="493"/>
      <c r="E104" s="493"/>
      <c r="F104" s="493"/>
      <c r="G104" s="493"/>
      <c r="H104" s="493"/>
      <c r="I104" s="493"/>
      <c r="J104" s="493"/>
      <c r="K104" s="493"/>
      <c r="L104" s="493"/>
      <c r="M104" s="493"/>
    </row>
    <row r="105" spans="1:13" s="88" customFormat="1" ht="16.5" customHeight="1">
      <c r="A105" s="496" t="s">
        <v>5785</v>
      </c>
      <c r="B105" s="496"/>
      <c r="C105" s="493" t="s">
        <v>3207</v>
      </c>
      <c r="D105" s="493"/>
      <c r="E105" s="493"/>
      <c r="F105" s="493"/>
      <c r="G105" s="493"/>
      <c r="H105" s="493"/>
      <c r="I105" s="493"/>
      <c r="J105" s="493"/>
      <c r="K105" s="493"/>
      <c r="L105" s="493"/>
      <c r="M105" s="493"/>
    </row>
    <row r="106" spans="1:13" s="88" customFormat="1" ht="16.5" customHeight="1">
      <c r="A106" s="89" t="s">
        <v>1223</v>
      </c>
      <c r="B106" s="92" t="s">
        <v>3191</v>
      </c>
      <c r="C106" s="493" t="s">
        <v>3192</v>
      </c>
      <c r="D106" s="493"/>
      <c r="E106" s="493"/>
      <c r="F106" s="493"/>
      <c r="G106" s="493"/>
      <c r="H106" s="493"/>
      <c r="I106" s="493"/>
      <c r="J106" s="493"/>
      <c r="K106" s="493"/>
      <c r="L106" s="493"/>
      <c r="M106" s="493"/>
    </row>
    <row r="107" spans="1:13" s="88" customFormat="1" ht="16.5" customHeight="1">
      <c r="A107" s="89"/>
      <c r="B107" s="92" t="s">
        <v>3193</v>
      </c>
      <c r="C107" s="493" t="s">
        <v>3194</v>
      </c>
      <c r="D107" s="493"/>
      <c r="E107" s="493"/>
      <c r="F107" s="493"/>
      <c r="G107" s="493"/>
      <c r="H107" s="493"/>
      <c r="I107" s="493"/>
      <c r="J107" s="493"/>
      <c r="K107" s="493"/>
      <c r="L107" s="493"/>
      <c r="M107" s="493"/>
    </row>
    <row r="108" spans="1:13" s="88" customFormat="1" ht="16.5" customHeight="1">
      <c r="A108" s="89"/>
      <c r="B108" s="90" t="s">
        <v>3174</v>
      </c>
      <c r="C108" s="493" t="s">
        <v>3195</v>
      </c>
      <c r="D108" s="493"/>
      <c r="E108" s="493"/>
      <c r="F108" s="493"/>
      <c r="G108" s="493"/>
      <c r="H108" s="493"/>
      <c r="I108" s="493"/>
      <c r="J108" s="493"/>
      <c r="K108" s="493"/>
      <c r="L108" s="493"/>
      <c r="M108" s="493"/>
    </row>
    <row r="109" spans="1:13" s="88" customFormat="1" ht="39.75" customHeight="1">
      <c r="A109" s="89" t="s">
        <v>1228</v>
      </c>
      <c r="B109" s="493" t="str">
        <f>B10</f>
        <v>使用start_num可跳过指定数目的字符.例如,假定使用文本字符串“AYF0093.YoungMensApparel”,如果要查找文本字符串中说明部分的第一个“Y”的编号,则可将start_num设置为8,这样就不会查找文本的序列号部分.FIND将从第8个字符开始查找,而在下一个字符处即可找到find_text,于是返回编号9.FIND总是从within_text的起始处返回字符编号,如果start_num大于1,也会对跳过的字符进行计数.</v>
      </c>
      <c r="C109" s="493"/>
      <c r="D109" s="493"/>
      <c r="E109" s="493"/>
      <c r="F109" s="493"/>
      <c r="G109" s="493"/>
      <c r="H109" s="493"/>
      <c r="I109" s="493"/>
      <c r="J109" s="493"/>
      <c r="K109" s="493"/>
      <c r="L109" s="493"/>
      <c r="M109" s="493"/>
    </row>
    <row r="110" spans="1:13" ht="63.75" customHeight="1">
      <c r="A110" s="89" t="s">
        <v>1229</v>
      </c>
      <c r="B110" s="493" t="str">
        <f>B11</f>
        <v>1.如果find_text是空文本(""),则FIND会匹配搜索串中的首字符(即：编号为start_num或1的字符).
2.Find_text中不能包含通配符.
3.如果within_text中没有find_text,则FIND和FINDB返回错误值#VALUE!.
4.如果start_num不大于0,则FIND和FINDB返回错误值#VALUE!.
5.如果start_num大于within_text的长度,则FIND和FINDB返回错误值#VALUE!.</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2" s="93" customFormat="1" ht="16.5" customHeight="1">
      <c r="A113" s="94" t="s">
        <v>1232</v>
      </c>
      <c r="B113" s="93" t="s">
        <v>1773</v>
      </c>
    </row>
    <row r="116" spans="1:2">
      <c r="B116" s="93" t="s">
        <v>3208</v>
      </c>
    </row>
    <row r="200" spans="1:13" s="88" customFormat="1" ht="26.25" customHeight="1">
      <c r="A200" s="498" t="s">
        <v>341</v>
      </c>
      <c r="B200" s="498"/>
      <c r="C200" s="499"/>
      <c r="D200" s="87"/>
      <c r="E200" s="500" t="str">
        <f>HYPERLINK("#目录!A200","跳转回到目录页")</f>
        <v>跳转回到目录页</v>
      </c>
      <c r="F200" s="501"/>
    </row>
    <row r="201" spans="1:13" s="88" customFormat="1" ht="26.25" customHeight="1">
      <c r="A201" s="502" t="s">
        <v>1216</v>
      </c>
      <c r="B201" s="502"/>
      <c r="C201" s="503" t="s">
        <v>342</v>
      </c>
      <c r="D201" s="503"/>
      <c r="E201" s="503"/>
      <c r="F201" s="503"/>
      <c r="G201" s="503"/>
      <c r="H201" s="503"/>
      <c r="I201" s="503"/>
      <c r="J201" s="503"/>
      <c r="K201" s="503"/>
      <c r="L201" s="503"/>
      <c r="M201" s="503"/>
    </row>
    <row r="202" spans="1:13" s="88" customFormat="1" ht="24.75" customHeight="1">
      <c r="A202" s="496" t="s">
        <v>1217</v>
      </c>
      <c r="B202" s="496"/>
      <c r="C202" s="493" t="s">
        <v>3209</v>
      </c>
      <c r="D202" s="493"/>
      <c r="E202" s="493"/>
      <c r="F202" s="493"/>
      <c r="G202" s="493"/>
      <c r="H202" s="493"/>
      <c r="I202" s="493"/>
      <c r="J202" s="493"/>
      <c r="K202" s="493"/>
      <c r="L202" s="493"/>
      <c r="M202" s="493"/>
    </row>
    <row r="203" spans="1:13" s="88" customFormat="1" ht="16.5" customHeight="1">
      <c r="A203" s="496" t="s">
        <v>5786</v>
      </c>
      <c r="B203" s="496"/>
      <c r="C203" s="497" t="s">
        <v>5907</v>
      </c>
      <c r="D203" s="497"/>
      <c r="E203" s="497"/>
      <c r="F203" s="497"/>
      <c r="G203" s="497"/>
      <c r="H203" s="497"/>
      <c r="I203" s="497"/>
      <c r="J203" s="497"/>
      <c r="K203" s="497"/>
      <c r="L203" s="497"/>
      <c r="M203" s="497"/>
    </row>
    <row r="204" spans="1:13" s="88" customFormat="1" ht="16.5" customHeight="1">
      <c r="A204" s="496" t="s">
        <v>1220</v>
      </c>
      <c r="B204" s="496"/>
      <c r="C204" s="493" t="s">
        <v>3210</v>
      </c>
      <c r="D204" s="493"/>
      <c r="E204" s="493"/>
      <c r="F204" s="493"/>
      <c r="G204" s="493"/>
      <c r="H204" s="493"/>
      <c r="I204" s="493"/>
      <c r="J204" s="493"/>
      <c r="K204" s="493"/>
      <c r="L204" s="493"/>
      <c r="M204" s="493"/>
    </row>
    <row r="205" spans="1:13" s="88" customFormat="1" ht="16.5" customHeight="1">
      <c r="A205" s="496" t="s">
        <v>5785</v>
      </c>
      <c r="B205" s="496"/>
      <c r="C205" s="493" t="s">
        <v>3211</v>
      </c>
      <c r="D205" s="493"/>
      <c r="E205" s="493"/>
      <c r="F205" s="493"/>
      <c r="G205" s="493"/>
      <c r="H205" s="493"/>
      <c r="I205" s="493"/>
      <c r="J205" s="493"/>
      <c r="K205" s="493"/>
      <c r="L205" s="493"/>
      <c r="M205" s="493"/>
    </row>
    <row r="206" spans="1:13" s="88" customFormat="1" ht="24.75" customHeight="1">
      <c r="A206" s="89" t="s">
        <v>1223</v>
      </c>
      <c r="B206" s="92" t="s">
        <v>3191</v>
      </c>
      <c r="C206" s="493" t="s">
        <v>3212</v>
      </c>
      <c r="D206" s="493"/>
      <c r="E206" s="493"/>
      <c r="F206" s="493"/>
      <c r="G206" s="493"/>
      <c r="H206" s="493"/>
      <c r="I206" s="493"/>
      <c r="J206" s="493"/>
      <c r="K206" s="493"/>
      <c r="L206" s="493"/>
      <c r="M206" s="493"/>
    </row>
    <row r="207" spans="1:13" s="88" customFormat="1" ht="16.5" customHeight="1">
      <c r="A207" s="89"/>
      <c r="B207" s="92" t="s">
        <v>3193</v>
      </c>
      <c r="C207" s="493" t="s">
        <v>3213</v>
      </c>
      <c r="D207" s="493"/>
      <c r="E207" s="493"/>
      <c r="F207" s="493"/>
      <c r="G207" s="493"/>
      <c r="H207" s="493"/>
      <c r="I207" s="493"/>
      <c r="J207" s="493"/>
      <c r="K207" s="493"/>
      <c r="L207" s="493"/>
      <c r="M207" s="493"/>
    </row>
    <row r="208" spans="1:13" s="88" customFormat="1" ht="16.5" customHeight="1">
      <c r="A208" s="89"/>
      <c r="B208" s="90" t="s">
        <v>3174</v>
      </c>
      <c r="C208" s="493" t="s">
        <v>3214</v>
      </c>
      <c r="D208" s="493"/>
      <c r="E208" s="493"/>
      <c r="F208" s="493"/>
      <c r="G208" s="493"/>
      <c r="H208" s="493"/>
      <c r="I208" s="493"/>
      <c r="J208" s="493"/>
      <c r="K208" s="493"/>
      <c r="L208" s="493"/>
      <c r="M208" s="493"/>
    </row>
    <row r="209" spans="1:13" s="88" customFormat="1" ht="39" customHeight="1">
      <c r="A209" s="89" t="s">
        <v>1228</v>
      </c>
      <c r="B209" s="493" t="s">
        <v>3215</v>
      </c>
      <c r="C209" s="493"/>
      <c r="D209" s="493"/>
      <c r="E209" s="493"/>
      <c r="F209" s="493"/>
      <c r="G209" s="493"/>
      <c r="H209" s="493"/>
      <c r="I209" s="493"/>
      <c r="J209" s="493"/>
      <c r="K209" s="493"/>
      <c r="L209" s="493"/>
      <c r="M209" s="493"/>
    </row>
    <row r="210" spans="1:13" ht="62.25" customHeight="1">
      <c r="A210" s="89" t="s">
        <v>1229</v>
      </c>
      <c r="B210" s="493" t="s">
        <v>3216</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6" spans="1:13">
      <c r="B216" s="93"/>
      <c r="C216" s="93"/>
      <c r="D216" s="94" t="s">
        <v>1431</v>
      </c>
      <c r="E216" s="104" t="s">
        <v>1238</v>
      </c>
      <c r="G216" s="94" t="s">
        <v>27</v>
      </c>
    </row>
    <row r="217" spans="1:13">
      <c r="B217" s="518" t="s">
        <v>3198</v>
      </c>
      <c r="C217" s="518"/>
      <c r="D217" s="93">
        <f>SEARCH("函数",B217)</f>
        <v>1</v>
      </c>
      <c r="E217" s="108" t="s">
        <v>3217</v>
      </c>
      <c r="G217" s="93" t="s">
        <v>3200</v>
      </c>
    </row>
    <row r="218" spans="1:13">
      <c r="B218" s="518" t="s">
        <v>3198</v>
      </c>
      <c r="C218" s="518"/>
      <c r="D218" s="93">
        <f>SEARCH("函数",B218,1)</f>
        <v>1</v>
      </c>
      <c r="E218" s="108" t="s">
        <v>5908</v>
      </c>
      <c r="F218" s="18"/>
      <c r="G218" s="93" t="s">
        <v>3201</v>
      </c>
    </row>
    <row r="219" spans="1:13">
      <c r="B219" s="518" t="s">
        <v>3198</v>
      </c>
      <c r="C219" s="518"/>
      <c r="D219" s="93">
        <f>SEARCH("函数",B219,3)</f>
        <v>7</v>
      </c>
      <c r="E219" s="108" t="s">
        <v>5909</v>
      </c>
      <c r="G219" s="93" t="s">
        <v>3202</v>
      </c>
    </row>
    <row r="220" spans="1:13">
      <c r="B220" s="518" t="s">
        <v>3203</v>
      </c>
      <c r="C220" s="518"/>
      <c r="D220" s="93">
        <f>SEARCH("A",B220)</f>
        <v>5</v>
      </c>
      <c r="E220" s="108" t="s">
        <v>5910</v>
      </c>
      <c r="G220" s="93" t="s">
        <v>3218</v>
      </c>
    </row>
    <row r="221" spans="1:13">
      <c r="B221" s="518" t="s">
        <v>3203</v>
      </c>
      <c r="C221" s="518"/>
      <c r="D221" s="93">
        <f>SEARCH("a",B221)</f>
        <v>5</v>
      </c>
      <c r="E221" s="108" t="s">
        <v>5911</v>
      </c>
      <c r="G221" s="93"/>
    </row>
    <row r="222" spans="1:13">
      <c r="B222" s="93"/>
      <c r="C222" s="93"/>
      <c r="D222" s="93"/>
      <c r="E222" s="93"/>
      <c r="G222" s="93"/>
    </row>
    <row r="224" spans="1:13">
      <c r="F224" s="18"/>
    </row>
    <row r="226" spans="6:6">
      <c r="F226" s="18"/>
    </row>
    <row r="300" spans="1:13" s="88" customFormat="1" ht="26.25" customHeight="1">
      <c r="A300" s="498" t="s">
        <v>343</v>
      </c>
      <c r="B300" s="498"/>
      <c r="C300" s="499"/>
      <c r="D300" s="87"/>
      <c r="E300" s="500" t="str">
        <f>HYPERLINK("#目录!A201","跳转回到目录页")</f>
        <v>跳转回到目录页</v>
      </c>
      <c r="F300" s="501"/>
    </row>
    <row r="301" spans="1:13" s="88" customFormat="1" ht="26.25" customHeight="1">
      <c r="A301" s="502" t="s">
        <v>1216</v>
      </c>
      <c r="B301" s="502"/>
      <c r="C301" s="503" t="s">
        <v>344</v>
      </c>
      <c r="D301" s="503"/>
      <c r="E301" s="503"/>
      <c r="F301" s="503"/>
      <c r="G301" s="503"/>
      <c r="H301" s="503"/>
      <c r="I301" s="503"/>
      <c r="J301" s="503"/>
      <c r="K301" s="503"/>
      <c r="L301" s="503"/>
      <c r="M301" s="503"/>
    </row>
    <row r="302" spans="1:13" s="88" customFormat="1" ht="24.75" customHeight="1">
      <c r="A302" s="496" t="s">
        <v>1217</v>
      </c>
      <c r="B302" s="496"/>
      <c r="C302" s="493" t="s">
        <v>3219</v>
      </c>
      <c r="D302" s="493"/>
      <c r="E302" s="493"/>
      <c r="F302" s="493"/>
      <c r="G302" s="493"/>
      <c r="H302" s="493"/>
      <c r="I302" s="493"/>
      <c r="J302" s="493"/>
      <c r="K302" s="493"/>
      <c r="L302" s="493"/>
      <c r="M302" s="493"/>
    </row>
    <row r="303" spans="1:13" s="88" customFormat="1" ht="16.5" customHeight="1">
      <c r="A303" s="496" t="s">
        <v>5786</v>
      </c>
      <c r="B303" s="496"/>
      <c r="C303" s="497" t="s">
        <v>5907</v>
      </c>
      <c r="D303" s="497"/>
      <c r="E303" s="497"/>
      <c r="F303" s="497"/>
      <c r="G303" s="497"/>
      <c r="H303" s="497"/>
      <c r="I303" s="497"/>
      <c r="J303" s="497"/>
      <c r="K303" s="497"/>
      <c r="L303" s="497"/>
      <c r="M303" s="497"/>
    </row>
    <row r="304" spans="1:13" s="88" customFormat="1" ht="16.5" customHeight="1">
      <c r="A304" s="496" t="s">
        <v>1220</v>
      </c>
      <c r="B304" s="496"/>
      <c r="C304" s="493" t="s">
        <v>3220</v>
      </c>
      <c r="D304" s="493"/>
      <c r="E304" s="493"/>
      <c r="F304" s="493"/>
      <c r="G304" s="493"/>
      <c r="H304" s="493"/>
      <c r="I304" s="493"/>
      <c r="J304" s="493"/>
      <c r="K304" s="493"/>
      <c r="L304" s="493"/>
      <c r="M304" s="493"/>
    </row>
    <row r="305" spans="1:13" s="88" customFormat="1" ht="16.5" customHeight="1">
      <c r="A305" s="496" t="s">
        <v>5785</v>
      </c>
      <c r="B305" s="496"/>
      <c r="C305" s="493" t="s">
        <v>3221</v>
      </c>
      <c r="D305" s="493"/>
      <c r="E305" s="493"/>
      <c r="F305" s="493"/>
      <c r="G305" s="493"/>
      <c r="H305" s="493"/>
      <c r="I305" s="493"/>
      <c r="J305" s="493"/>
      <c r="K305" s="493"/>
      <c r="L305" s="493"/>
      <c r="M305" s="493"/>
    </row>
    <row r="306" spans="1:13" s="88" customFormat="1" ht="24.75" customHeight="1">
      <c r="A306" s="89" t="s">
        <v>1223</v>
      </c>
      <c r="B306" s="92" t="s">
        <v>3191</v>
      </c>
      <c r="C306" s="493" t="s">
        <v>3212</v>
      </c>
      <c r="D306" s="493"/>
      <c r="E306" s="493"/>
      <c r="F306" s="493"/>
      <c r="G306" s="493"/>
      <c r="H306" s="493"/>
      <c r="I306" s="493"/>
      <c r="J306" s="493"/>
      <c r="K306" s="493"/>
      <c r="L306" s="493"/>
      <c r="M306" s="493"/>
    </row>
    <row r="307" spans="1:13" s="88" customFormat="1" ht="16.5" customHeight="1">
      <c r="A307" s="89"/>
      <c r="B307" s="92" t="s">
        <v>3193</v>
      </c>
      <c r="C307" s="493" t="s">
        <v>3213</v>
      </c>
      <c r="D307" s="493"/>
      <c r="E307" s="493"/>
      <c r="F307" s="493"/>
      <c r="G307" s="493"/>
      <c r="H307" s="493"/>
      <c r="I307" s="493"/>
      <c r="J307" s="493"/>
      <c r="K307" s="493"/>
      <c r="L307" s="493"/>
      <c r="M307" s="493"/>
    </row>
    <row r="308" spans="1:13" s="88" customFormat="1" ht="16.5" customHeight="1">
      <c r="A308" s="89"/>
      <c r="B308" s="90" t="s">
        <v>3174</v>
      </c>
      <c r="C308" s="493" t="s">
        <v>3214</v>
      </c>
      <c r="D308" s="493"/>
      <c r="E308" s="493"/>
      <c r="F308" s="493"/>
      <c r="G308" s="493"/>
      <c r="H308" s="493"/>
      <c r="I308" s="493"/>
      <c r="J308" s="493"/>
      <c r="K308" s="493"/>
      <c r="L308" s="493"/>
      <c r="M308" s="493"/>
    </row>
    <row r="309" spans="1:13" s="88" customFormat="1" ht="38.25" customHeight="1">
      <c r="A309" s="89" t="s">
        <v>1228</v>
      </c>
      <c r="B309" s="493" t="str">
        <f>B209</f>
        <v>使用start_num可跳过指定数目的字符.例如,假定使用文本字符串AYF0093.YoungMensApparel,如果要查找文本字符串中说明部分的第一个Y的编号,则可将start_num设置为8,这样就不会查找文本的序列号部分.SEARCH将从第8个字符开始查找,而在下一个字符处即可找到find_text,于是返回编号9.SEARCH总是从within_text的起始处返回字符编号,如果start_num大于1,也会对跳过的字符进行计数.</v>
      </c>
      <c r="C309" s="493"/>
      <c r="D309" s="493"/>
      <c r="E309" s="493"/>
      <c r="F309" s="493"/>
      <c r="G309" s="493"/>
      <c r="H309" s="493"/>
      <c r="I309" s="493"/>
      <c r="J309" s="493"/>
      <c r="K309" s="493"/>
      <c r="L309" s="493"/>
      <c r="M309" s="493"/>
    </row>
    <row r="310" spans="1:13" ht="62.25" customHeight="1">
      <c r="A310" s="89" t="s">
        <v>1229</v>
      </c>
      <c r="B310" s="493" t="str">
        <f>B210</f>
        <v>1.SEARCH和SEARCHB在查找文本时不区分大小写.
2.SEARCH和SEARCHB类似于FIND和FINDB,但FIND和FINDB区分大小写.
3.如果没有找到find_text,则返回错误值#VALUE!.
4.如果忽略start_num,则假定其为1.
5.如果start_num不大于0(零)或大于within_text,则返回错误值#VALUE!.</v>
      </c>
      <c r="C310" s="493"/>
      <c r="D310" s="493"/>
      <c r="E310" s="493"/>
      <c r="F310" s="493"/>
      <c r="G310" s="493"/>
      <c r="H310" s="493"/>
      <c r="I310" s="493"/>
      <c r="J310" s="493"/>
      <c r="K310" s="493"/>
      <c r="L310" s="493"/>
      <c r="M310" s="49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6" spans="1:13" ht="16.5" customHeight="1">
      <c r="B316" s="93" t="s">
        <v>3222</v>
      </c>
    </row>
  </sheetData>
  <mergeCells count="8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B17:C17"/>
    <mergeCell ref="B18:C18"/>
    <mergeCell ref="B19:C19"/>
    <mergeCell ref="B20:C20"/>
    <mergeCell ref="B21:C21"/>
    <mergeCell ref="C107:M107"/>
    <mergeCell ref="E100:F100"/>
    <mergeCell ref="A101:B101"/>
    <mergeCell ref="C101:M101"/>
    <mergeCell ref="A102:B102"/>
    <mergeCell ref="C102:M102"/>
    <mergeCell ref="A103:B103"/>
    <mergeCell ref="C103:M103"/>
    <mergeCell ref="A100:C100"/>
    <mergeCell ref="A104:B104"/>
    <mergeCell ref="C104:M104"/>
    <mergeCell ref="A105:B105"/>
    <mergeCell ref="C105:M105"/>
    <mergeCell ref="C106:M106"/>
    <mergeCell ref="C108:M108"/>
    <mergeCell ref="B109:M109"/>
    <mergeCell ref="B110:M110"/>
    <mergeCell ref="B111:L111"/>
    <mergeCell ref="A200:C200"/>
    <mergeCell ref="E200:F200"/>
    <mergeCell ref="C207:M207"/>
    <mergeCell ref="A201:B201"/>
    <mergeCell ref="C201:M201"/>
    <mergeCell ref="A202:B202"/>
    <mergeCell ref="C202:M202"/>
    <mergeCell ref="A203:B203"/>
    <mergeCell ref="C203:M203"/>
    <mergeCell ref="A204:B204"/>
    <mergeCell ref="C204:M204"/>
    <mergeCell ref="A205:B205"/>
    <mergeCell ref="C205:M205"/>
    <mergeCell ref="C206:M206"/>
    <mergeCell ref="A301:B301"/>
    <mergeCell ref="C301:M301"/>
    <mergeCell ref="C208:M208"/>
    <mergeCell ref="B209:M209"/>
    <mergeCell ref="B210:M210"/>
    <mergeCell ref="B211:L211"/>
    <mergeCell ref="B217:C217"/>
    <mergeCell ref="B218:C218"/>
    <mergeCell ref="B219:C219"/>
    <mergeCell ref="B220:C220"/>
    <mergeCell ref="B221:C221"/>
    <mergeCell ref="A300:C300"/>
    <mergeCell ref="E300:F300"/>
    <mergeCell ref="A302:B302"/>
    <mergeCell ref="C302:M302"/>
    <mergeCell ref="A303:B303"/>
    <mergeCell ref="C303:M303"/>
    <mergeCell ref="A304:B304"/>
    <mergeCell ref="C304:M304"/>
    <mergeCell ref="B310:M310"/>
    <mergeCell ref="B311:L311"/>
    <mergeCell ref="A305:B305"/>
    <mergeCell ref="C305:M305"/>
    <mergeCell ref="C306:M306"/>
    <mergeCell ref="C307:M307"/>
    <mergeCell ref="C308:M308"/>
    <mergeCell ref="B309:M309"/>
  </mergeCells>
  <phoneticPr fontId="2" type="noConversion"/>
  <pageMargins left="0.75" right="0.75" top="1" bottom="1" header="0.5" footer="0.5"/>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V222"/>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346</v>
      </c>
      <c r="B1" s="498"/>
      <c r="C1" s="499"/>
      <c r="D1" s="87"/>
      <c r="E1" s="500" t="str">
        <f>HYPERLINK("#目录!A203","跳转回到目录页")</f>
        <v>跳转回到目录页</v>
      </c>
      <c r="F1" s="501"/>
    </row>
    <row r="2" spans="1:48" s="88" customFormat="1" ht="26.25" customHeight="1">
      <c r="A2" s="502" t="s">
        <v>1216</v>
      </c>
      <c r="B2" s="502"/>
      <c r="C2" s="503" t="s">
        <v>347</v>
      </c>
      <c r="D2" s="503"/>
      <c r="E2" s="503"/>
      <c r="F2" s="503"/>
      <c r="G2" s="503"/>
      <c r="H2" s="503"/>
      <c r="I2" s="503"/>
      <c r="J2" s="503"/>
      <c r="K2" s="503"/>
      <c r="L2" s="503"/>
      <c r="M2" s="503"/>
    </row>
    <row r="3" spans="1:48" s="88" customFormat="1" ht="24.75" customHeight="1">
      <c r="A3" s="496" t="s">
        <v>1217</v>
      </c>
      <c r="B3" s="496"/>
      <c r="C3" s="493" t="s">
        <v>3223</v>
      </c>
      <c r="D3" s="493"/>
      <c r="E3" s="493"/>
      <c r="F3" s="493"/>
      <c r="G3" s="493"/>
      <c r="H3" s="493"/>
      <c r="I3" s="493"/>
      <c r="J3" s="493"/>
      <c r="K3" s="493"/>
      <c r="L3" s="493"/>
      <c r="M3" s="493"/>
    </row>
    <row r="4" spans="1:48" s="88" customFormat="1" ht="16.5" customHeight="1">
      <c r="A4" s="496" t="s">
        <v>5786</v>
      </c>
      <c r="B4" s="496"/>
      <c r="C4" s="497" t="s">
        <v>3224</v>
      </c>
      <c r="D4" s="497"/>
      <c r="E4" s="497"/>
      <c r="F4" s="497"/>
      <c r="G4" s="497"/>
      <c r="H4" s="497"/>
      <c r="I4" s="497"/>
      <c r="J4" s="497"/>
      <c r="K4" s="497"/>
      <c r="L4" s="497"/>
      <c r="M4" s="497"/>
    </row>
    <row r="5" spans="1:48" s="88" customFormat="1" ht="16.5" customHeight="1">
      <c r="A5" s="496" t="s">
        <v>1220</v>
      </c>
      <c r="B5" s="496"/>
      <c r="C5" s="493" t="s">
        <v>3225</v>
      </c>
      <c r="D5" s="493"/>
      <c r="E5" s="493"/>
      <c r="F5" s="493"/>
      <c r="G5" s="493"/>
      <c r="H5" s="493"/>
      <c r="I5" s="493"/>
      <c r="J5" s="493"/>
      <c r="K5" s="493"/>
      <c r="L5" s="493"/>
      <c r="M5" s="493"/>
    </row>
    <row r="6" spans="1:48" s="88" customFormat="1" ht="16.5" customHeight="1">
      <c r="A6" s="496" t="s">
        <v>5785</v>
      </c>
      <c r="B6" s="496"/>
      <c r="C6" s="493" t="s">
        <v>3226</v>
      </c>
      <c r="D6" s="493"/>
      <c r="E6" s="493"/>
      <c r="F6" s="493"/>
      <c r="G6" s="493"/>
      <c r="H6" s="493"/>
      <c r="I6" s="493"/>
      <c r="J6" s="493"/>
      <c r="K6" s="493"/>
      <c r="L6" s="493"/>
      <c r="M6" s="493"/>
    </row>
    <row r="7" spans="1:48" s="88" customFormat="1" ht="16.5" customHeight="1">
      <c r="A7" s="89" t="s">
        <v>1223</v>
      </c>
      <c r="B7" s="92" t="s">
        <v>3034</v>
      </c>
      <c r="C7" s="493" t="s">
        <v>3227</v>
      </c>
      <c r="D7" s="493"/>
      <c r="E7" s="493"/>
      <c r="F7" s="493"/>
      <c r="G7" s="493"/>
      <c r="H7" s="493"/>
      <c r="I7" s="493"/>
      <c r="J7" s="493"/>
      <c r="K7" s="493"/>
      <c r="L7" s="493"/>
      <c r="M7" s="493"/>
    </row>
    <row r="8" spans="1:48" s="88" customFormat="1" ht="16.5" customHeight="1">
      <c r="A8" s="89"/>
      <c r="B8" s="92" t="s">
        <v>3228</v>
      </c>
      <c r="C8" s="493" t="s">
        <v>3229</v>
      </c>
      <c r="D8" s="493"/>
      <c r="E8" s="493"/>
      <c r="F8" s="493"/>
      <c r="G8" s="493"/>
      <c r="H8" s="493"/>
      <c r="I8" s="493"/>
      <c r="J8" s="493"/>
      <c r="K8" s="493"/>
      <c r="L8" s="493"/>
      <c r="M8" s="493"/>
    </row>
    <row r="9" spans="1:48" s="88" customFormat="1" ht="16.5" customHeight="1">
      <c r="A9" s="89"/>
      <c r="B9" s="92" t="s">
        <v>3230</v>
      </c>
      <c r="C9" s="509" t="s">
        <v>3231</v>
      </c>
      <c r="D9" s="509"/>
      <c r="E9" s="509"/>
      <c r="F9" s="509"/>
      <c r="G9" s="509"/>
      <c r="H9" s="509"/>
      <c r="I9" s="509"/>
      <c r="J9" s="509"/>
      <c r="K9" s="509"/>
      <c r="L9" s="509"/>
      <c r="M9" s="509"/>
    </row>
    <row r="10" spans="1:48" s="88" customFormat="1" ht="24.75" customHeight="1">
      <c r="A10" s="89"/>
      <c r="B10" s="90" t="s">
        <v>3232</v>
      </c>
      <c r="C10" s="493" t="s">
        <v>3233</v>
      </c>
      <c r="D10" s="493"/>
      <c r="E10" s="493"/>
      <c r="F10" s="493"/>
      <c r="G10" s="493"/>
      <c r="H10" s="493"/>
      <c r="I10" s="493"/>
      <c r="J10" s="493"/>
      <c r="K10" s="493"/>
      <c r="L10" s="493"/>
      <c r="M10" s="493"/>
    </row>
    <row r="11" spans="1:48" s="88" customFormat="1" ht="16.5" customHeight="1">
      <c r="A11" s="89" t="s">
        <v>1228</v>
      </c>
      <c r="B11" s="493"/>
      <c r="C11" s="493"/>
      <c r="D11" s="493"/>
      <c r="E11" s="493"/>
      <c r="F11" s="493"/>
      <c r="G11" s="493"/>
      <c r="H11" s="493"/>
      <c r="I11" s="493"/>
      <c r="J11" s="493"/>
      <c r="K11" s="493"/>
      <c r="L11" s="493"/>
      <c r="M11" s="493"/>
    </row>
    <row r="12" spans="1:48" ht="16.5" customHeight="1">
      <c r="A12" s="89" t="s">
        <v>1229</v>
      </c>
      <c r="B12" s="493"/>
      <c r="C12" s="493"/>
      <c r="D12" s="493"/>
      <c r="E12" s="493"/>
      <c r="F12" s="493"/>
      <c r="G12" s="493"/>
      <c r="H12" s="493"/>
      <c r="I12" s="493"/>
      <c r="J12" s="493"/>
      <c r="K12" s="493"/>
      <c r="L12" s="493"/>
      <c r="M12" s="493"/>
    </row>
    <row r="13" spans="1:48" ht="21" customHeight="1">
      <c r="B13" s="494" t="s">
        <v>2863</v>
      </c>
      <c r="C13" s="494"/>
      <c r="D13" s="494"/>
      <c r="E13" s="494"/>
      <c r="F13" s="494"/>
      <c r="G13" s="494"/>
      <c r="H13" s="494"/>
      <c r="I13" s="494"/>
      <c r="J13" s="494"/>
      <c r="K13" s="494"/>
      <c r="L13" s="495"/>
    </row>
    <row r="14" spans="1:48" s="93" customFormat="1" ht="16.5" customHeight="1"/>
    <row r="15" spans="1:48" s="93" customFormat="1" ht="16.5" customHeight="1">
      <c r="A15" s="94" t="s">
        <v>1232</v>
      </c>
      <c r="B15" s="93" t="s">
        <v>1773</v>
      </c>
      <c r="D15" s="93" t="s">
        <v>3234</v>
      </c>
    </row>
    <row r="16" spans="1:48" s="93" customFormat="1" ht="16.5" customHeight="1">
      <c r="F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F17" s="104" t="s">
        <v>1238</v>
      </c>
      <c r="J17" s="93" t="s">
        <v>27</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482" t="s">
        <v>1861</v>
      </c>
      <c r="C18" s="504"/>
      <c r="D18" s="188" t="e">
        <f>#N/A</f>
        <v>#N/A</v>
      </c>
      <c r="E18" s="138"/>
      <c r="F18" s="108" t="s">
        <v>3235</v>
      </c>
      <c r="J18" s="93" t="s">
        <v>3236</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483" t="s">
        <v>3237</v>
      </c>
      <c r="C19" s="488"/>
      <c r="D19" s="110" t="e">
        <f>#N/A</f>
        <v>#N/A</v>
      </c>
      <c r="E19" s="101"/>
      <c r="F19" s="108" t="s">
        <v>3238</v>
      </c>
      <c r="J19" s="93" t="s">
        <v>3239</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483" t="s">
        <v>1904</v>
      </c>
      <c r="C20" s="488"/>
      <c r="D20" s="110" t="e">
        <f>#N/A</f>
        <v>#N/A</v>
      </c>
      <c r="E20" s="101"/>
      <c r="F20" s="108" t="s">
        <v>3240</v>
      </c>
      <c r="J20" s="93" t="s">
        <v>3241</v>
      </c>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483" t="s">
        <v>3119</v>
      </c>
      <c r="C21" s="488"/>
      <c r="D21" s="110" t="e">
        <f>#N/A</f>
        <v>#N/A</v>
      </c>
      <c r="E21" s="101"/>
      <c r="F21" s="108" t="s">
        <v>3242</v>
      </c>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8" customHeight="1">
      <c r="B22" s="483" t="s">
        <v>3243</v>
      </c>
      <c r="C22" s="488"/>
      <c r="D22" s="110" t="str">
        <f>SUBSTITUTE(B22,"美男美女",$C$24,1)</f>
        <v>每男每女美男美女美男美女</v>
      </c>
      <c r="E22" s="101"/>
      <c r="F22" s="108" t="s">
        <v>5898</v>
      </c>
      <c r="J22" s="509" t="s">
        <v>3244</v>
      </c>
      <c r="K22" s="509"/>
      <c r="L22" s="509"/>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8" customHeight="1">
      <c r="B23" s="484" t="s">
        <v>3243</v>
      </c>
      <c r="C23" s="489"/>
      <c r="D23" s="113" t="str">
        <f>SUBSTITUTE(B23,"美男美女",$C$24,2)</f>
        <v>美男美女每男每女美男美女</v>
      </c>
      <c r="E23" s="107"/>
      <c r="F23" s="108" t="s">
        <v>5899</v>
      </c>
      <c r="J23" s="509"/>
      <c r="K23" s="509"/>
      <c r="L23" s="509"/>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A24" s="94"/>
      <c r="B24" s="234" t="s">
        <v>3245</v>
      </c>
      <c r="C24" s="234" t="s">
        <v>1904</v>
      </c>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A34" s="9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100" spans="1:13" s="88" customFormat="1" ht="26.25" customHeight="1">
      <c r="A100" s="498" t="s">
        <v>348</v>
      </c>
      <c r="B100" s="498"/>
      <c r="C100" s="499"/>
      <c r="D100" s="87"/>
      <c r="E100" s="500" t="str">
        <f>HYPERLINK("#目录!A204","跳转回到目录页")</f>
        <v>跳转回到目录页</v>
      </c>
      <c r="F100" s="501"/>
    </row>
    <row r="101" spans="1:13" s="88" customFormat="1" ht="26.25" customHeight="1">
      <c r="A101" s="502" t="s">
        <v>1216</v>
      </c>
      <c r="B101" s="502"/>
      <c r="C101" s="503" t="s">
        <v>349</v>
      </c>
      <c r="D101" s="503"/>
      <c r="E101" s="503"/>
      <c r="F101" s="503"/>
      <c r="G101" s="503"/>
      <c r="H101" s="503"/>
      <c r="I101" s="503"/>
      <c r="J101" s="503"/>
      <c r="K101" s="503"/>
      <c r="L101" s="503"/>
      <c r="M101" s="503"/>
    </row>
    <row r="102" spans="1:13" s="88" customFormat="1" ht="16.5" customHeight="1">
      <c r="A102" s="496" t="s">
        <v>1217</v>
      </c>
      <c r="B102" s="496"/>
      <c r="C102" s="493" t="s">
        <v>3246</v>
      </c>
      <c r="D102" s="493"/>
      <c r="E102" s="493"/>
      <c r="F102" s="493"/>
      <c r="G102" s="493"/>
      <c r="H102" s="493"/>
      <c r="I102" s="493"/>
      <c r="J102" s="493"/>
      <c r="K102" s="493"/>
      <c r="L102" s="493"/>
      <c r="M102" s="493"/>
    </row>
    <row r="103" spans="1:13" s="88" customFormat="1" ht="16.5" customHeight="1">
      <c r="A103" s="496" t="s">
        <v>5786</v>
      </c>
      <c r="B103" s="496"/>
      <c r="C103" s="497" t="s">
        <v>349</v>
      </c>
      <c r="D103" s="497"/>
      <c r="E103" s="497"/>
      <c r="F103" s="497"/>
      <c r="G103" s="497"/>
      <c r="H103" s="497"/>
      <c r="I103" s="497"/>
      <c r="J103" s="497"/>
      <c r="K103" s="497"/>
      <c r="L103" s="497"/>
      <c r="M103" s="497"/>
    </row>
    <row r="104" spans="1:13" s="88" customFormat="1" ht="16.5" customHeight="1">
      <c r="A104" s="496" t="s">
        <v>1220</v>
      </c>
      <c r="B104" s="496"/>
      <c r="C104" s="493" t="s">
        <v>3247</v>
      </c>
      <c r="D104" s="493"/>
      <c r="E104" s="493"/>
      <c r="F104" s="493"/>
      <c r="G104" s="493"/>
      <c r="H104" s="493"/>
      <c r="I104" s="493"/>
      <c r="J104" s="493"/>
      <c r="K104" s="493"/>
      <c r="L104" s="493"/>
      <c r="M104" s="493"/>
    </row>
    <row r="105" spans="1:13" s="88" customFormat="1" ht="16.5" customHeight="1">
      <c r="A105" s="496" t="s">
        <v>5785</v>
      </c>
      <c r="B105" s="496"/>
      <c r="C105" s="493" t="s">
        <v>3248</v>
      </c>
      <c r="D105" s="493"/>
      <c r="E105" s="493"/>
      <c r="F105" s="493"/>
      <c r="G105" s="493"/>
      <c r="H105" s="493"/>
      <c r="I105" s="493"/>
      <c r="J105" s="493"/>
      <c r="K105" s="493"/>
      <c r="L105" s="493"/>
      <c r="M105" s="493"/>
    </row>
    <row r="106" spans="1:13" s="88" customFormat="1" ht="16.5" customHeight="1">
      <c r="A106" s="89" t="s">
        <v>1223</v>
      </c>
      <c r="B106" s="92" t="s">
        <v>3228</v>
      </c>
      <c r="C106" s="493" t="s">
        <v>3249</v>
      </c>
      <c r="D106" s="493"/>
      <c r="E106" s="493"/>
      <c r="F106" s="493"/>
      <c r="G106" s="493"/>
      <c r="H106" s="493"/>
      <c r="I106" s="493"/>
      <c r="J106" s="493"/>
      <c r="K106" s="493"/>
      <c r="L106" s="493"/>
      <c r="M106" s="493"/>
    </row>
    <row r="107" spans="1:13" s="88" customFormat="1" ht="16.5" customHeight="1">
      <c r="A107" s="89"/>
      <c r="B107" s="92" t="s">
        <v>3174</v>
      </c>
      <c r="C107" s="509" t="s">
        <v>3250</v>
      </c>
      <c r="D107" s="509"/>
      <c r="E107" s="509"/>
      <c r="F107" s="509"/>
      <c r="G107" s="509"/>
      <c r="H107" s="509"/>
      <c r="I107" s="509"/>
      <c r="J107" s="509"/>
      <c r="K107" s="509"/>
      <c r="L107" s="509"/>
      <c r="M107" s="509"/>
    </row>
    <row r="108" spans="1:13" s="88" customFormat="1" ht="16.5" customHeight="1">
      <c r="A108" s="89"/>
      <c r="B108" s="92" t="s">
        <v>3134</v>
      </c>
      <c r="C108" s="493" t="s">
        <v>3251</v>
      </c>
      <c r="D108" s="493"/>
      <c r="E108" s="493"/>
      <c r="F108" s="493"/>
      <c r="G108" s="493"/>
      <c r="H108" s="493"/>
      <c r="I108" s="493"/>
      <c r="J108" s="493"/>
      <c r="K108" s="493"/>
      <c r="L108" s="493"/>
      <c r="M108" s="493"/>
    </row>
    <row r="109" spans="1:13" s="88" customFormat="1" ht="16.5" customHeight="1">
      <c r="A109" s="89"/>
      <c r="B109" s="90" t="s">
        <v>3230</v>
      </c>
      <c r="C109" s="493" t="s">
        <v>3252</v>
      </c>
      <c r="D109" s="493"/>
      <c r="E109" s="493"/>
      <c r="F109" s="493"/>
      <c r="G109" s="493"/>
      <c r="H109" s="493"/>
      <c r="I109" s="493"/>
      <c r="J109" s="493"/>
      <c r="K109" s="493"/>
      <c r="L109" s="493"/>
      <c r="M109" s="493"/>
    </row>
    <row r="110" spans="1:13" s="88" customFormat="1" ht="16.5" customHeight="1">
      <c r="A110" s="89" t="s">
        <v>1228</v>
      </c>
      <c r="B110" s="493"/>
      <c r="C110" s="493"/>
      <c r="D110" s="493"/>
      <c r="E110" s="493"/>
      <c r="F110" s="493"/>
      <c r="G110" s="493"/>
      <c r="H110" s="493"/>
      <c r="I110" s="493"/>
      <c r="J110" s="493"/>
      <c r="K110" s="493"/>
      <c r="L110" s="493"/>
      <c r="M110" s="493"/>
    </row>
    <row r="111" spans="1:13" ht="16.5" customHeight="1">
      <c r="A111" s="89" t="s">
        <v>1229</v>
      </c>
      <c r="B111" s="493"/>
      <c r="C111" s="493"/>
      <c r="D111" s="493"/>
      <c r="E111" s="493"/>
      <c r="F111" s="493"/>
      <c r="G111" s="493"/>
      <c r="H111" s="493"/>
      <c r="I111" s="493"/>
      <c r="J111" s="493"/>
      <c r="K111" s="493"/>
      <c r="L111" s="493"/>
      <c r="M111" s="493"/>
    </row>
    <row r="112" spans="1:13" ht="21" customHeight="1">
      <c r="B112" s="494" t="s">
        <v>2863</v>
      </c>
      <c r="C112" s="494"/>
      <c r="D112" s="494"/>
      <c r="E112" s="494"/>
      <c r="F112" s="494"/>
      <c r="G112" s="494"/>
      <c r="H112" s="494"/>
      <c r="I112" s="494"/>
      <c r="J112" s="494"/>
      <c r="K112" s="494"/>
      <c r="L112" s="495"/>
    </row>
    <row r="113" spans="1:12" s="93" customFormat="1" ht="16.5" customHeight="1"/>
    <row r="114" spans="1:12" s="93" customFormat="1" ht="16.5" customHeight="1">
      <c r="A114" s="94" t="s">
        <v>1232</v>
      </c>
      <c r="B114" s="93" t="s">
        <v>1773</v>
      </c>
    </row>
    <row r="115" spans="1:12" s="93" customFormat="1" ht="16.5" customHeight="1">
      <c r="A115" s="94"/>
    </row>
    <row r="116" spans="1:12" ht="16.5" customHeight="1">
      <c r="A116" s="93"/>
      <c r="B116" s="93"/>
      <c r="C116" s="93"/>
      <c r="D116" s="93"/>
      <c r="E116" s="93"/>
      <c r="F116" s="93"/>
      <c r="G116" s="93"/>
      <c r="H116" s="93"/>
      <c r="I116" s="93"/>
      <c r="J116" s="93"/>
      <c r="K116" s="93"/>
      <c r="L116" s="93"/>
    </row>
    <row r="117" spans="1:12" ht="16.5" customHeight="1">
      <c r="A117" s="93"/>
      <c r="B117" s="93"/>
      <c r="C117" s="93"/>
      <c r="D117" s="93"/>
      <c r="E117" s="94" t="s">
        <v>1431</v>
      </c>
      <c r="F117" s="93"/>
      <c r="G117" s="93"/>
      <c r="H117" s="104" t="s">
        <v>1238</v>
      </c>
      <c r="I117" s="93"/>
      <c r="J117" s="93"/>
      <c r="K117" s="93"/>
      <c r="L117" s="93"/>
    </row>
    <row r="118" spans="1:12" ht="16.5" customHeight="1">
      <c r="A118" s="93"/>
      <c r="B118" s="655" t="s">
        <v>1861</v>
      </c>
      <c r="C118" s="558"/>
      <c r="D118" s="558"/>
      <c r="E118" s="558" t="str">
        <f>REPLACE(B118,1,4,"每男每女")</f>
        <v>每男每女家居生活馆</v>
      </c>
      <c r="F118" s="558"/>
      <c r="G118" s="559"/>
      <c r="H118" s="108" t="s">
        <v>3253</v>
      </c>
      <c r="I118" s="93"/>
      <c r="J118" s="93"/>
      <c r="K118" s="93"/>
      <c r="L118" s="93"/>
    </row>
    <row r="119" spans="1:12" ht="16.5" customHeight="1">
      <c r="A119" s="93"/>
      <c r="B119" s="654" t="s">
        <v>3237</v>
      </c>
      <c r="C119" s="554"/>
      <c r="D119" s="554"/>
      <c r="E119" s="554" t="str">
        <f>REPLACE(B119,1,4,"每男每女")</f>
        <v>每男每女家居生活馆</v>
      </c>
      <c r="F119" s="554"/>
      <c r="G119" s="555"/>
      <c r="H119" s="108" t="s">
        <v>3254</v>
      </c>
      <c r="I119" s="93"/>
      <c r="J119" s="93"/>
      <c r="K119" s="93"/>
      <c r="L119" s="93"/>
    </row>
    <row r="120" spans="1:12" ht="16.5" customHeight="1">
      <c r="A120" s="93"/>
      <c r="B120" s="99" t="s">
        <v>3243</v>
      </c>
      <c r="C120" s="110"/>
      <c r="D120" s="110"/>
      <c r="E120" s="110" t="str">
        <f>REPLACE(B120,1,4,"每男每女")</f>
        <v>每男每女美男美女美男美女</v>
      </c>
      <c r="F120" s="110"/>
      <c r="G120" s="101"/>
      <c r="H120" s="108" t="s">
        <v>5900</v>
      </c>
      <c r="I120" s="93"/>
      <c r="J120" s="93"/>
      <c r="K120" s="93"/>
      <c r="L120" s="93"/>
    </row>
    <row r="121" spans="1:12" ht="16.5" customHeight="1">
      <c r="A121" s="93"/>
      <c r="B121" s="654" t="s">
        <v>3243</v>
      </c>
      <c r="C121" s="554"/>
      <c r="D121" s="554"/>
      <c r="E121" s="554" t="str">
        <f>REPLACE(B121,4,4,"每男每女")</f>
        <v>美男美每男每女女美男美女</v>
      </c>
      <c r="F121" s="554"/>
      <c r="G121" s="555"/>
      <c r="H121" s="108" t="s">
        <v>5901</v>
      </c>
      <c r="I121" s="93"/>
      <c r="J121" s="93"/>
      <c r="K121" s="93"/>
      <c r="L121" s="93"/>
    </row>
    <row r="122" spans="1:12" ht="16.5" customHeight="1">
      <c r="A122" s="93"/>
      <c r="B122" s="653" t="s">
        <v>3243</v>
      </c>
      <c r="C122" s="556"/>
      <c r="D122" s="556"/>
      <c r="E122" s="556" t="str">
        <f>REPLACE(B122,4,0,"每男每女")</f>
        <v>美男美每男每女女美男美女美男美女</v>
      </c>
      <c r="F122" s="556"/>
      <c r="G122" s="557"/>
      <c r="H122" s="108" t="s">
        <v>5902</v>
      </c>
      <c r="I122" s="93"/>
      <c r="J122" s="93"/>
      <c r="K122" s="93"/>
      <c r="L122" s="93"/>
    </row>
    <row r="123" spans="1:12" ht="16.5" customHeight="1">
      <c r="A123" s="93"/>
      <c r="H123" s="158"/>
      <c r="I123" s="93"/>
      <c r="J123" s="93"/>
      <c r="K123" s="93"/>
      <c r="L123" s="93"/>
    </row>
    <row r="124" spans="1:12" ht="16.5" customHeight="1">
      <c r="A124" s="93"/>
      <c r="H124" s="158"/>
      <c r="I124" s="93"/>
      <c r="J124" s="93"/>
      <c r="K124" s="93"/>
      <c r="L124" s="93"/>
    </row>
    <row r="125" spans="1:12">
      <c r="A125" s="93"/>
      <c r="B125" s="93"/>
      <c r="C125" s="93"/>
      <c r="D125" s="93"/>
      <c r="E125" s="93"/>
      <c r="F125" s="93"/>
      <c r="G125" s="93"/>
      <c r="H125" s="93"/>
      <c r="I125" s="93"/>
      <c r="J125" s="93"/>
      <c r="K125" s="93"/>
      <c r="L125" s="93"/>
    </row>
    <row r="126" spans="1:12">
      <c r="A126" s="93"/>
      <c r="B126" s="93"/>
      <c r="C126" s="93"/>
      <c r="D126" s="93"/>
      <c r="E126" s="93"/>
      <c r="F126" s="93"/>
      <c r="G126" s="93"/>
      <c r="H126" s="93"/>
      <c r="I126" s="93"/>
      <c r="J126" s="93"/>
      <c r="K126" s="93"/>
      <c r="L126" s="93"/>
    </row>
    <row r="127" spans="1:12">
      <c r="A127" s="93"/>
      <c r="B127" s="93"/>
      <c r="C127" s="93"/>
      <c r="D127" s="93"/>
      <c r="E127" s="93"/>
      <c r="F127" s="93"/>
      <c r="G127" s="93"/>
      <c r="H127" s="93"/>
      <c r="I127" s="93"/>
      <c r="J127" s="93"/>
      <c r="K127" s="93"/>
      <c r="L127" s="93"/>
    </row>
    <row r="128" spans="1:12">
      <c r="A128" s="93"/>
      <c r="B128" s="93"/>
      <c r="C128" s="93"/>
      <c r="D128" s="93"/>
      <c r="E128" s="93"/>
      <c r="F128" s="93"/>
      <c r="G128" s="93"/>
      <c r="H128" s="93"/>
      <c r="I128" s="93"/>
      <c r="J128" s="93"/>
      <c r="K128" s="93"/>
      <c r="L128" s="93"/>
    </row>
    <row r="200" spans="1:13" s="88" customFormat="1" ht="26.25" customHeight="1">
      <c r="A200" s="498" t="s">
        <v>350</v>
      </c>
      <c r="B200" s="498"/>
      <c r="C200" s="499"/>
      <c r="D200" s="87"/>
      <c r="E200" s="500" t="str">
        <f>HYPERLINK("#目录!A205","跳转回到目录页")</f>
        <v>跳转回到目录页</v>
      </c>
      <c r="F200" s="501"/>
    </row>
    <row r="201" spans="1:13" s="88" customFormat="1" ht="26.25" customHeight="1">
      <c r="A201" s="502" t="s">
        <v>1216</v>
      </c>
      <c r="B201" s="502"/>
      <c r="C201" s="503" t="s">
        <v>351</v>
      </c>
      <c r="D201" s="503"/>
      <c r="E201" s="503"/>
      <c r="F201" s="503"/>
      <c r="G201" s="503"/>
      <c r="H201" s="503"/>
      <c r="I201" s="503"/>
      <c r="J201" s="503"/>
      <c r="K201" s="503"/>
      <c r="L201" s="503"/>
      <c r="M201" s="503"/>
    </row>
    <row r="202" spans="1:13" s="88" customFormat="1" ht="16.5" customHeight="1">
      <c r="A202" s="496" t="s">
        <v>1217</v>
      </c>
      <c r="B202" s="496"/>
      <c r="C202" s="493" t="s">
        <v>3255</v>
      </c>
      <c r="D202" s="493"/>
      <c r="E202" s="493"/>
      <c r="F202" s="493"/>
      <c r="G202" s="493"/>
      <c r="H202" s="493"/>
      <c r="I202" s="493"/>
      <c r="J202" s="493"/>
      <c r="K202" s="493"/>
      <c r="L202" s="493"/>
      <c r="M202" s="493"/>
    </row>
    <row r="203" spans="1:13" s="88" customFormat="1" ht="16.5" customHeight="1">
      <c r="A203" s="496" t="s">
        <v>5786</v>
      </c>
      <c r="B203" s="496"/>
      <c r="C203" s="497" t="s">
        <v>351</v>
      </c>
      <c r="D203" s="497"/>
      <c r="E203" s="497"/>
      <c r="F203" s="497"/>
      <c r="G203" s="497"/>
      <c r="H203" s="497"/>
      <c r="I203" s="497"/>
      <c r="J203" s="497"/>
      <c r="K203" s="497"/>
      <c r="L203" s="497"/>
      <c r="M203" s="497"/>
    </row>
    <row r="204" spans="1:13" s="88" customFormat="1" ht="16.5" customHeight="1">
      <c r="A204" s="496" t="s">
        <v>1220</v>
      </c>
      <c r="B204" s="496"/>
      <c r="C204" s="493" t="s">
        <v>3256</v>
      </c>
      <c r="D204" s="493"/>
      <c r="E204" s="493"/>
      <c r="F204" s="493"/>
      <c r="G204" s="493"/>
      <c r="H204" s="493"/>
      <c r="I204" s="493"/>
      <c r="J204" s="493"/>
      <c r="K204" s="493"/>
      <c r="L204" s="493"/>
      <c r="M204" s="493"/>
    </row>
    <row r="205" spans="1:13" s="88" customFormat="1" ht="16.5" customHeight="1">
      <c r="A205" s="496" t="s">
        <v>5785</v>
      </c>
      <c r="B205" s="496"/>
      <c r="C205" s="493" t="s">
        <v>3248</v>
      </c>
      <c r="D205" s="493"/>
      <c r="E205" s="493"/>
      <c r="F205" s="493"/>
      <c r="G205" s="493"/>
      <c r="H205" s="493"/>
      <c r="I205" s="493"/>
      <c r="J205" s="493"/>
      <c r="K205" s="493"/>
      <c r="L205" s="493"/>
      <c r="M205" s="493"/>
    </row>
    <row r="206" spans="1:13" s="88" customFormat="1" ht="16.5" customHeight="1">
      <c r="A206" s="89" t="s">
        <v>1223</v>
      </c>
      <c r="B206" s="92" t="s">
        <v>3228</v>
      </c>
      <c r="C206" s="493" t="s">
        <v>3249</v>
      </c>
      <c r="D206" s="493"/>
      <c r="E206" s="493"/>
      <c r="F206" s="493"/>
      <c r="G206" s="493"/>
      <c r="H206" s="493"/>
      <c r="I206" s="493"/>
      <c r="J206" s="493"/>
      <c r="K206" s="493"/>
      <c r="L206" s="493"/>
      <c r="M206" s="493"/>
    </row>
    <row r="207" spans="1:13" s="88" customFormat="1" ht="16.5" customHeight="1">
      <c r="A207" s="89"/>
      <c r="B207" s="92" t="s">
        <v>3174</v>
      </c>
      <c r="C207" s="509" t="s">
        <v>3250</v>
      </c>
      <c r="D207" s="509"/>
      <c r="E207" s="509"/>
      <c r="F207" s="509"/>
      <c r="G207" s="509"/>
      <c r="H207" s="509"/>
      <c r="I207" s="509"/>
      <c r="J207" s="509"/>
      <c r="K207" s="509"/>
      <c r="L207" s="509"/>
      <c r="M207" s="509"/>
    </row>
    <row r="208" spans="1:13" s="88" customFormat="1" ht="16.5" customHeight="1">
      <c r="A208" s="89"/>
      <c r="B208" s="92" t="s">
        <v>3167</v>
      </c>
      <c r="C208" s="493" t="s">
        <v>3257</v>
      </c>
      <c r="D208" s="493"/>
      <c r="E208" s="493"/>
      <c r="F208" s="493"/>
      <c r="G208" s="493"/>
      <c r="H208" s="493"/>
      <c r="I208" s="493"/>
      <c r="J208" s="493"/>
      <c r="K208" s="493"/>
      <c r="L208" s="493"/>
      <c r="M208" s="493"/>
    </row>
    <row r="209" spans="1:15" s="88" customFormat="1" ht="16.5" customHeight="1">
      <c r="A209" s="89"/>
      <c r="B209" s="90" t="s">
        <v>3230</v>
      </c>
      <c r="C209" s="493" t="s">
        <v>3252</v>
      </c>
      <c r="D209" s="493"/>
      <c r="E209" s="493"/>
      <c r="F209" s="493"/>
      <c r="G209" s="493"/>
      <c r="H209" s="493"/>
      <c r="I209" s="493"/>
      <c r="J209" s="493"/>
      <c r="K209" s="493"/>
      <c r="L209" s="493"/>
      <c r="M209" s="493"/>
    </row>
    <row r="210" spans="1:15" s="88" customFormat="1" ht="16.5" customHeight="1">
      <c r="A210" s="89" t="s">
        <v>1228</v>
      </c>
      <c r="B210" s="493"/>
      <c r="C210" s="493"/>
      <c r="D210" s="493"/>
      <c r="E210" s="493"/>
      <c r="F210" s="493"/>
      <c r="G210" s="493"/>
      <c r="H210" s="493"/>
      <c r="I210" s="493"/>
      <c r="J210" s="493"/>
      <c r="K210" s="493"/>
      <c r="L210" s="493"/>
      <c r="M210" s="493"/>
    </row>
    <row r="211" spans="1:15" ht="16.5" customHeight="1">
      <c r="A211" s="89" t="s">
        <v>1229</v>
      </c>
      <c r="B211" s="493"/>
      <c r="C211" s="493"/>
      <c r="D211" s="493"/>
      <c r="E211" s="493"/>
      <c r="F211" s="493"/>
      <c r="G211" s="493"/>
      <c r="H211" s="493"/>
      <c r="I211" s="493"/>
      <c r="J211" s="493"/>
      <c r="K211" s="493"/>
      <c r="L211" s="493"/>
      <c r="M211" s="493"/>
    </row>
    <row r="212" spans="1:15" ht="21" customHeight="1">
      <c r="B212" s="494" t="s">
        <v>2863</v>
      </c>
      <c r="C212" s="494"/>
      <c r="D212" s="494"/>
      <c r="E212" s="494"/>
      <c r="F212" s="494"/>
      <c r="G212" s="494"/>
      <c r="H212" s="494"/>
      <c r="I212" s="494"/>
      <c r="J212" s="494"/>
      <c r="K212" s="494"/>
      <c r="L212" s="495"/>
    </row>
    <row r="213" spans="1:15" s="93" customFormat="1" ht="16.5" customHeight="1"/>
    <row r="214" spans="1:15" s="93" customFormat="1" ht="16.5" customHeight="1">
      <c r="A214" s="94" t="s">
        <v>1232</v>
      </c>
      <c r="B214" s="93" t="s">
        <v>1773</v>
      </c>
    </row>
    <row r="217" spans="1:15">
      <c r="B217" s="93" t="s">
        <v>3258</v>
      </c>
    </row>
    <row r="219" spans="1:15">
      <c r="D219" s="92"/>
      <c r="E219" s="92"/>
      <c r="F219" s="92"/>
      <c r="G219" s="92"/>
      <c r="H219" s="92"/>
      <c r="I219" s="92"/>
      <c r="J219" s="92"/>
      <c r="K219" s="92"/>
      <c r="L219" s="92"/>
      <c r="M219" s="92"/>
      <c r="N219" s="92"/>
      <c r="O219" s="92"/>
    </row>
    <row r="220" spans="1:15">
      <c r="D220" s="92"/>
      <c r="E220" s="92"/>
      <c r="F220" s="92"/>
      <c r="G220" s="92"/>
      <c r="H220" s="92"/>
      <c r="I220" s="92"/>
      <c r="J220" s="92"/>
      <c r="K220" s="92"/>
      <c r="L220" s="92"/>
      <c r="M220" s="92"/>
      <c r="N220" s="92"/>
      <c r="O220" s="92"/>
    </row>
    <row r="221" spans="1:15">
      <c r="D221" s="92"/>
      <c r="E221" s="92"/>
      <c r="F221" s="92"/>
      <c r="G221" s="92"/>
      <c r="H221" s="92"/>
      <c r="I221" s="92"/>
      <c r="J221" s="92"/>
      <c r="K221" s="92"/>
      <c r="L221" s="92"/>
      <c r="M221" s="92"/>
      <c r="N221" s="92"/>
      <c r="O221" s="92"/>
    </row>
    <row r="222" spans="1:15">
      <c r="D222" s="90"/>
      <c r="E222" s="92"/>
      <c r="F222" s="92"/>
      <c r="G222" s="92"/>
      <c r="H222" s="92"/>
      <c r="I222" s="92"/>
      <c r="J222" s="92"/>
      <c r="K222" s="92"/>
      <c r="L222" s="92"/>
      <c r="M222" s="92"/>
      <c r="N222" s="92"/>
      <c r="O222" s="92"/>
    </row>
  </sheetData>
  <mergeCells count="72">
    <mergeCell ref="A1:C1"/>
    <mergeCell ref="E1:F1"/>
    <mergeCell ref="A2:B2"/>
    <mergeCell ref="C2:M2"/>
    <mergeCell ref="A3:B3"/>
    <mergeCell ref="C3:M3"/>
    <mergeCell ref="B12:M12"/>
    <mergeCell ref="A4:B4"/>
    <mergeCell ref="C4:M4"/>
    <mergeCell ref="A5:B5"/>
    <mergeCell ref="C5:M5"/>
    <mergeCell ref="A6:B6"/>
    <mergeCell ref="C6:M6"/>
    <mergeCell ref="C7:M7"/>
    <mergeCell ref="C8:M8"/>
    <mergeCell ref="C9:M9"/>
    <mergeCell ref="C10:M10"/>
    <mergeCell ref="B11:M11"/>
    <mergeCell ref="A102:B102"/>
    <mergeCell ref="C102:M102"/>
    <mergeCell ref="B13:L13"/>
    <mergeCell ref="B18:C18"/>
    <mergeCell ref="B19:C19"/>
    <mergeCell ref="B20:C20"/>
    <mergeCell ref="B21:C21"/>
    <mergeCell ref="B22:C22"/>
    <mergeCell ref="B23:C23"/>
    <mergeCell ref="A100:C100"/>
    <mergeCell ref="E100:F100"/>
    <mergeCell ref="A101:B101"/>
    <mergeCell ref="C101:M101"/>
    <mergeCell ref="A103:B103"/>
    <mergeCell ref="C103:M103"/>
    <mergeCell ref="A104:B104"/>
    <mergeCell ref="C104:M104"/>
    <mergeCell ref="A105:B105"/>
    <mergeCell ref="C105:M105"/>
    <mergeCell ref="B121:D121"/>
    <mergeCell ref="E121:G121"/>
    <mergeCell ref="C106:M106"/>
    <mergeCell ref="C107:M107"/>
    <mergeCell ref="C108:M108"/>
    <mergeCell ref="C109:M109"/>
    <mergeCell ref="B110:M110"/>
    <mergeCell ref="B111:M111"/>
    <mergeCell ref="B112:L112"/>
    <mergeCell ref="B118:D118"/>
    <mergeCell ref="E118:G118"/>
    <mergeCell ref="B119:D119"/>
    <mergeCell ref="E119:G119"/>
    <mergeCell ref="B122:D122"/>
    <mergeCell ref="E122:G122"/>
    <mergeCell ref="A200:C200"/>
    <mergeCell ref="E200:F200"/>
    <mergeCell ref="A201:B201"/>
    <mergeCell ref="C201:M201"/>
    <mergeCell ref="B210:M210"/>
    <mergeCell ref="B211:M211"/>
    <mergeCell ref="B212:L212"/>
    <mergeCell ref="J22:L23"/>
    <mergeCell ref="A205:B205"/>
    <mergeCell ref="C205:M205"/>
    <mergeCell ref="C206:M206"/>
    <mergeCell ref="C207:M207"/>
    <mergeCell ref="C208:M208"/>
    <mergeCell ref="C209:M209"/>
    <mergeCell ref="A202:B202"/>
    <mergeCell ref="C202:M202"/>
    <mergeCell ref="A203:B203"/>
    <mergeCell ref="C203:M203"/>
    <mergeCell ref="A204:B204"/>
    <mergeCell ref="C204:M204"/>
  </mergeCells>
  <phoneticPr fontId="2" type="noConversion"/>
  <pageMargins left="0.75" right="0.75" top="1" bottom="1" header="0.5" footer="0.5"/>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332"/>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57</v>
      </c>
      <c r="B1" s="498"/>
      <c r="C1" s="499"/>
      <c r="D1" s="87"/>
      <c r="E1" s="500" t="str">
        <f>HYPERLINK("#目录!A36","跳转回到目录页")</f>
        <v>跳转回到目录页</v>
      </c>
      <c r="F1" s="501"/>
    </row>
    <row r="2" spans="1:13" s="88" customFormat="1" ht="26.25" customHeight="1">
      <c r="A2" s="502" t="s">
        <v>1216</v>
      </c>
      <c r="B2" s="502"/>
      <c r="C2" s="503" t="s">
        <v>58</v>
      </c>
      <c r="D2" s="503"/>
      <c r="E2" s="503"/>
      <c r="F2" s="503"/>
      <c r="G2" s="503"/>
      <c r="H2" s="503"/>
      <c r="I2" s="503"/>
      <c r="J2" s="503"/>
      <c r="K2" s="503"/>
      <c r="L2" s="503"/>
      <c r="M2" s="503"/>
    </row>
    <row r="3" spans="1:13" s="88" customFormat="1" ht="16.5" customHeight="1">
      <c r="A3" s="496" t="s">
        <v>1217</v>
      </c>
      <c r="B3" s="496"/>
      <c r="C3" s="493" t="s">
        <v>1388</v>
      </c>
      <c r="D3" s="493"/>
      <c r="E3" s="493"/>
      <c r="F3" s="493"/>
      <c r="G3" s="493"/>
      <c r="H3" s="493"/>
      <c r="I3" s="493"/>
      <c r="J3" s="493"/>
      <c r="K3" s="493"/>
      <c r="L3" s="493"/>
      <c r="M3" s="493"/>
    </row>
    <row r="4" spans="1:13" s="88" customFormat="1" ht="16.5" customHeight="1">
      <c r="A4" s="496" t="s">
        <v>5786</v>
      </c>
      <c r="B4" s="496"/>
      <c r="C4" s="497" t="s">
        <v>5964</v>
      </c>
      <c r="D4" s="497"/>
      <c r="E4" s="497"/>
      <c r="F4" s="497"/>
      <c r="G4" s="497"/>
      <c r="H4" s="497"/>
      <c r="I4" s="497"/>
      <c r="J4" s="497"/>
      <c r="K4" s="497"/>
      <c r="L4" s="497"/>
      <c r="M4" s="497"/>
    </row>
    <row r="5" spans="1:13" s="88" customFormat="1" ht="16.5" customHeight="1">
      <c r="A5" s="496" t="s">
        <v>1220</v>
      </c>
      <c r="B5" s="496"/>
      <c r="C5" s="493" t="s">
        <v>1389</v>
      </c>
      <c r="D5" s="493"/>
      <c r="E5" s="493"/>
      <c r="F5" s="493"/>
      <c r="G5" s="493"/>
      <c r="H5" s="493"/>
      <c r="I5" s="493"/>
      <c r="J5" s="493"/>
      <c r="K5" s="493"/>
      <c r="L5" s="493"/>
      <c r="M5" s="493"/>
    </row>
    <row r="6" spans="1:13" s="88" customFormat="1" ht="16.5" customHeight="1">
      <c r="A6" s="496" t="s">
        <v>5785</v>
      </c>
      <c r="B6" s="496"/>
      <c r="C6" s="493" t="s">
        <v>1390</v>
      </c>
      <c r="D6" s="493"/>
      <c r="E6" s="493"/>
      <c r="F6" s="493"/>
      <c r="G6" s="493"/>
      <c r="H6" s="493"/>
      <c r="I6" s="493"/>
      <c r="J6" s="493"/>
      <c r="K6" s="493"/>
      <c r="L6" s="493"/>
      <c r="M6" s="493"/>
    </row>
    <row r="7" spans="1:13" s="88" customFormat="1" ht="38.25" customHeight="1">
      <c r="A7" s="89" t="s">
        <v>1223</v>
      </c>
      <c r="B7" s="92" t="s">
        <v>1391</v>
      </c>
      <c r="C7" s="493" t="s">
        <v>1392</v>
      </c>
      <c r="D7" s="493"/>
      <c r="E7" s="493"/>
      <c r="F7" s="493"/>
      <c r="G7" s="493"/>
      <c r="H7" s="493"/>
      <c r="I7" s="493"/>
      <c r="J7" s="493"/>
      <c r="K7" s="493"/>
      <c r="L7" s="493"/>
      <c r="M7" s="493"/>
    </row>
    <row r="8" spans="1:13" s="88" customFormat="1" ht="24.75" customHeight="1">
      <c r="A8" s="89"/>
      <c r="B8" s="92" t="s">
        <v>1393</v>
      </c>
      <c r="C8" s="493" t="s">
        <v>1394</v>
      </c>
      <c r="D8" s="493"/>
      <c r="E8" s="493"/>
      <c r="F8" s="493"/>
      <c r="G8" s="493"/>
      <c r="H8" s="493"/>
      <c r="I8" s="493"/>
      <c r="J8" s="493"/>
      <c r="K8" s="493"/>
      <c r="L8" s="493"/>
      <c r="M8" s="493"/>
    </row>
    <row r="9" spans="1:13" s="88" customFormat="1" ht="24.75" customHeight="1">
      <c r="A9" s="89"/>
      <c r="B9" s="90" t="s">
        <v>1395</v>
      </c>
      <c r="C9" s="493" t="s">
        <v>1396</v>
      </c>
      <c r="D9" s="493"/>
      <c r="E9" s="493"/>
      <c r="F9" s="493"/>
      <c r="G9" s="493"/>
      <c r="H9" s="493"/>
      <c r="I9" s="493"/>
      <c r="J9" s="493"/>
      <c r="K9" s="493"/>
      <c r="L9" s="493"/>
      <c r="M9" s="493"/>
    </row>
    <row r="10" spans="1:13" s="88" customFormat="1" ht="16.5" customHeight="1">
      <c r="A10" s="89" t="s">
        <v>1228</v>
      </c>
      <c r="B10" s="493" t="s">
        <v>1397</v>
      </c>
      <c r="C10" s="493"/>
      <c r="D10" s="493"/>
      <c r="E10" s="493"/>
      <c r="F10" s="493"/>
      <c r="G10" s="493"/>
      <c r="H10" s="493"/>
      <c r="I10" s="493"/>
      <c r="J10" s="493"/>
      <c r="K10" s="493"/>
      <c r="L10" s="493"/>
      <c r="M10" s="493"/>
    </row>
    <row r="11" spans="1:13" ht="16.5" customHeight="1">
      <c r="A11" s="89" t="s">
        <v>1229</v>
      </c>
      <c r="B11" s="493" t="s">
        <v>1398</v>
      </c>
      <c r="C11" s="493"/>
      <c r="D11" s="493"/>
      <c r="E11" s="493"/>
      <c r="F11" s="493"/>
      <c r="G11" s="493"/>
      <c r="H11" s="493"/>
      <c r="I11" s="493"/>
      <c r="J11" s="493"/>
      <c r="K11" s="493"/>
      <c r="L11" s="493"/>
      <c r="M11" s="493"/>
    </row>
    <row r="12" spans="1:13" ht="21" customHeight="1">
      <c r="B12" s="494" t="s">
        <v>1231</v>
      </c>
      <c r="C12" s="494"/>
      <c r="D12" s="494"/>
      <c r="E12" s="494"/>
      <c r="F12" s="494"/>
      <c r="G12" s="494"/>
      <c r="H12" s="494"/>
      <c r="I12" s="494"/>
      <c r="J12" s="494"/>
      <c r="K12" s="494"/>
      <c r="L12" s="495"/>
    </row>
    <row r="13" spans="1:13" s="93" customFormat="1" ht="16.5" customHeight="1"/>
    <row r="14" spans="1:13" s="93" customFormat="1" ht="16.5" customHeight="1">
      <c r="A14" s="94" t="s">
        <v>1232</v>
      </c>
      <c r="B14" s="93" t="s">
        <v>1399</v>
      </c>
    </row>
    <row r="15" spans="1:13" s="93" customFormat="1" ht="16.5" customHeight="1"/>
    <row r="16" spans="1:13" s="93" customFormat="1" ht="16.5" customHeight="1">
      <c r="B16" s="95" t="s">
        <v>1400</v>
      </c>
      <c r="C16" s="97" t="s">
        <v>1401</v>
      </c>
      <c r="E16" s="94"/>
      <c r="F16" s="94"/>
    </row>
    <row r="17" spans="1:11" s="93" customFormat="1" ht="16.5" customHeight="1">
      <c r="B17" s="345">
        <v>2011</v>
      </c>
      <c r="C17" s="107">
        <v>6</v>
      </c>
      <c r="E17" s="148"/>
    </row>
    <row r="18" spans="1:11" s="93" customFormat="1" ht="16.5" customHeight="1">
      <c r="E18" s="323"/>
    </row>
    <row r="19" spans="1:11" s="93" customFormat="1" ht="16.5" customHeight="1">
      <c r="B19" s="482" t="s">
        <v>1402</v>
      </c>
      <c r="C19" s="504"/>
      <c r="D19" s="505"/>
      <c r="E19" s="148"/>
      <c r="H19" s="482" t="s">
        <v>1402</v>
      </c>
      <c r="I19" s="504"/>
      <c r="J19" s="505"/>
    </row>
    <row r="20" spans="1:11" s="93" customFormat="1" ht="16.5" customHeight="1">
      <c r="B20" s="111" t="s">
        <v>1403</v>
      </c>
      <c r="C20" s="335" t="s">
        <v>1275</v>
      </c>
      <c r="D20" s="365" t="s">
        <v>1404</v>
      </c>
      <c r="E20" s="104" t="s">
        <v>1238</v>
      </c>
      <c r="H20" s="111" t="s">
        <v>1403</v>
      </c>
      <c r="I20" s="335" t="s">
        <v>1275</v>
      </c>
      <c r="J20" s="365" t="s">
        <v>1404</v>
      </c>
      <c r="K20" s="104" t="s">
        <v>1238</v>
      </c>
    </row>
    <row r="21" spans="1:11" s="93" customFormat="1" ht="16.5" customHeight="1">
      <c r="B21" s="111" t="s">
        <v>1405</v>
      </c>
      <c r="C21" s="100">
        <v>5</v>
      </c>
      <c r="D21" s="365" t="e">
        <f>#N/A</f>
        <v>#N/A</v>
      </c>
      <c r="E21" s="108" t="s">
        <v>1406</v>
      </c>
      <c r="H21" s="111" t="s">
        <v>1405</v>
      </c>
      <c r="I21" s="100">
        <v>5</v>
      </c>
      <c r="J21" s="366" t="e">
        <f>#N/A</f>
        <v>#N/A</v>
      </c>
      <c r="K21" s="108" t="s">
        <v>1407</v>
      </c>
    </row>
    <row r="22" spans="1:11" s="93" customFormat="1" ht="16.5" customHeight="1">
      <c r="B22" s="111" t="s">
        <v>1408</v>
      </c>
      <c r="C22" s="100">
        <v>10</v>
      </c>
      <c r="D22" s="365" t="e">
        <f>#N/A</f>
        <v>#N/A</v>
      </c>
      <c r="H22" s="111" t="s">
        <v>1408</v>
      </c>
      <c r="I22" s="100">
        <v>10</v>
      </c>
      <c r="J22" s="366" t="e">
        <f>#N/A</f>
        <v>#N/A</v>
      </c>
    </row>
    <row r="23" spans="1:11" s="93" customFormat="1" ht="16.5" customHeight="1">
      <c r="A23" s="94"/>
      <c r="B23" s="151" t="s">
        <v>1409</v>
      </c>
      <c r="C23" s="106">
        <v>15</v>
      </c>
      <c r="D23" s="367" t="e">
        <f>#N/A</f>
        <v>#N/A</v>
      </c>
      <c r="H23" s="151" t="s">
        <v>1409</v>
      </c>
      <c r="I23" s="106">
        <v>15</v>
      </c>
      <c r="J23" s="368" t="e">
        <f>#N/A</f>
        <v>#N/A</v>
      </c>
    </row>
    <row r="24" spans="1:11" s="93" customFormat="1" ht="16.5" customHeight="1"/>
    <row r="25" spans="1:11" s="93" customFormat="1" ht="16.5" customHeight="1">
      <c r="B25" s="93" t="s">
        <v>1410</v>
      </c>
      <c r="C25" s="311"/>
      <c r="D25" s="311"/>
      <c r="E25" s="311"/>
      <c r="F25" s="94"/>
    </row>
    <row r="26" spans="1:11" s="93" customFormat="1" ht="16.5" customHeight="1">
      <c r="E26" s="148"/>
    </row>
    <row r="27" spans="1:11" s="93" customFormat="1" ht="16.5" customHeight="1">
      <c r="B27" s="93" t="s">
        <v>1261</v>
      </c>
      <c r="E27" s="148"/>
    </row>
    <row r="28" spans="1:11" s="93" customFormat="1" ht="16.5" customHeight="1">
      <c r="B28" s="94" t="s">
        <v>1411</v>
      </c>
      <c r="C28" s="93" t="s">
        <v>1412</v>
      </c>
      <c r="E28" s="148"/>
    </row>
    <row r="29" spans="1:11" s="93" customFormat="1" ht="16.5" customHeight="1"/>
    <row r="30" spans="1:11" s="93" customFormat="1" ht="16.5" customHeight="1"/>
    <row r="31" spans="1:11" s="93" customFormat="1" ht="16.5" customHeight="1"/>
    <row r="32" spans="1:11" s="93" customFormat="1" ht="16.5" customHeight="1"/>
    <row r="33" s="93" customFormat="1" ht="16.5" customHeight="1"/>
    <row r="34" s="93" customFormat="1" ht="16.5" customHeight="1"/>
    <row r="35" s="93" customFormat="1" ht="16.5" customHeight="1"/>
    <row r="36" s="93" customFormat="1" ht="16.5" customHeight="1"/>
    <row r="37" s="93" customFormat="1" ht="16.5" customHeight="1"/>
    <row r="38" s="93" customFormat="1" ht="16.5" customHeight="1"/>
    <row r="39" s="93" customFormat="1" ht="16.5" customHeight="1"/>
    <row r="40" s="93" customFormat="1" ht="16.5" customHeight="1"/>
    <row r="41" s="93" customFormat="1" ht="16.5" customHeight="1"/>
    <row r="42" s="93" customFormat="1" ht="16.5" customHeight="1"/>
    <row r="43" s="93" customFormat="1" ht="16.5" customHeight="1"/>
    <row r="44" s="93" customFormat="1" ht="16.5" customHeight="1"/>
    <row r="45" s="93" customFormat="1" ht="16.5" customHeight="1"/>
    <row r="46" s="93" customFormat="1" ht="16.5" customHeight="1"/>
    <row r="47" s="93" customFormat="1" ht="16.5" customHeight="1"/>
    <row r="48" s="93" customFormat="1" ht="16.5" customHeight="1"/>
    <row r="49" s="93" customFormat="1" ht="16.5" customHeight="1"/>
    <row r="50" s="93" customFormat="1" ht="16.5" customHeight="1"/>
    <row r="51" s="93" customFormat="1" ht="16.5" customHeight="1"/>
    <row r="52" s="93" customFormat="1" ht="16.5" customHeight="1"/>
    <row r="53" s="93" customFormat="1" ht="16.5" customHeight="1"/>
    <row r="54" s="93" customFormat="1" ht="16.5" customHeight="1"/>
    <row r="55" s="93" customFormat="1" ht="16.5" customHeight="1"/>
    <row r="56" s="93" customFormat="1" ht="16.5" customHeight="1"/>
    <row r="57" s="93" customFormat="1" ht="16.5" customHeight="1"/>
    <row r="58" s="93" customFormat="1" ht="16.5" customHeight="1"/>
    <row r="59" s="93" customFormat="1" ht="16.5" customHeight="1"/>
    <row r="60" s="93" customFormat="1" ht="16.5" customHeight="1"/>
    <row r="61" s="93" customFormat="1" ht="16.5" customHeight="1"/>
    <row r="62" s="93" customFormat="1" ht="16.5" customHeight="1"/>
    <row r="63" s="93" customFormat="1" ht="16.5" customHeight="1"/>
    <row r="64" s="93" customFormat="1" ht="16.5" customHeight="1"/>
    <row r="65" s="93" customFormat="1" ht="16.5" customHeight="1"/>
    <row r="66" s="93" customFormat="1" ht="16.5" customHeight="1"/>
    <row r="67" s="93" customFormat="1" ht="16.5" customHeight="1"/>
    <row r="68" s="93" customFormat="1" ht="16.5" customHeight="1"/>
    <row r="69" s="93" customFormat="1" ht="16.5" customHeight="1"/>
    <row r="70" s="93" customFormat="1" ht="16.5" customHeight="1"/>
    <row r="71" s="93" customFormat="1" ht="16.5" customHeight="1"/>
    <row r="72" s="93" customFormat="1" ht="16.5" customHeight="1"/>
    <row r="73" s="93" customFormat="1" ht="16.5" customHeight="1"/>
    <row r="74" s="93" customFormat="1" ht="16.5" customHeight="1"/>
    <row r="75" s="93" customFormat="1" ht="16.5" customHeight="1"/>
    <row r="76" s="93" customFormat="1" ht="16.5" customHeight="1"/>
    <row r="77" s="93" customFormat="1" ht="16.5" customHeight="1"/>
    <row r="78" s="93" customFormat="1" ht="16.5" customHeight="1"/>
    <row r="79" s="93" customFormat="1" ht="16.5" customHeight="1"/>
    <row r="80" s="93" customFormat="1" ht="16.5" customHeight="1"/>
    <row r="81" spans="1:8" s="93" customFormat="1" ht="16.5" customHeight="1"/>
    <row r="82" spans="1:8" s="93" customFormat="1" ht="16.5" customHeight="1"/>
    <row r="83" spans="1:8" s="93" customFormat="1" ht="16.5" customHeight="1"/>
    <row r="84" spans="1:8" s="93" customFormat="1" ht="16.5" customHeight="1">
      <c r="A84" s="94"/>
    </row>
    <row r="85" spans="1:8" s="93" customFormat="1" ht="16.5" customHeight="1"/>
    <row r="86" spans="1:8" s="93" customFormat="1" ht="16.5" customHeight="1">
      <c r="B86" s="94"/>
      <c r="C86" s="311"/>
      <c r="D86" s="311"/>
      <c r="E86" s="311"/>
      <c r="F86" s="94"/>
    </row>
    <row r="87" spans="1:8" s="93" customFormat="1" ht="16.5" customHeight="1">
      <c r="C87" s="312"/>
      <c r="E87" s="312"/>
      <c r="F87" s="94"/>
      <c r="H87" s="319"/>
    </row>
    <row r="88" spans="1:8" s="93" customFormat="1" ht="16.5" customHeight="1">
      <c r="C88" s="312"/>
      <c r="E88" s="312"/>
      <c r="F88" s="94"/>
    </row>
    <row r="89" spans="1:8" s="93" customFormat="1" ht="16.5" customHeight="1">
      <c r="C89" s="312"/>
      <c r="E89" s="312"/>
      <c r="F89" s="94"/>
    </row>
    <row r="90" spans="1:8" s="93" customFormat="1" ht="16.5" customHeight="1"/>
    <row r="91" spans="1:8" s="93" customFormat="1" ht="16.5" customHeight="1">
      <c r="C91" s="312"/>
    </row>
    <row r="92" spans="1:8" s="93" customFormat="1" ht="16.5" customHeight="1"/>
    <row r="93" spans="1:8" s="93" customFormat="1" ht="16.5" customHeight="1"/>
    <row r="94" spans="1:8" s="93" customFormat="1" ht="16.5" customHeight="1"/>
    <row r="95" spans="1:8" s="93" customFormat="1" ht="16.5" customHeight="1">
      <c r="B95" s="94"/>
    </row>
    <row r="96" spans="1:8" s="93" customFormat="1" ht="16.5" customHeight="1">
      <c r="B96" s="94"/>
    </row>
    <row r="97" spans="1:13" s="93" customFormat="1" ht="16.5" customHeight="1"/>
    <row r="100" spans="1:13" s="88" customFormat="1" ht="26.25" customHeight="1">
      <c r="A100" s="498" t="s">
        <v>59</v>
      </c>
      <c r="B100" s="498"/>
      <c r="C100" s="499"/>
      <c r="D100" s="87"/>
      <c r="E100" s="500" t="str">
        <f>HYPERLINK("#目录!A37","跳转回到目录页")</f>
        <v>跳转回到目录页</v>
      </c>
      <c r="F100" s="501"/>
    </row>
    <row r="101" spans="1:13" s="88" customFormat="1" ht="26.25" customHeight="1">
      <c r="A101" s="502" t="s">
        <v>1216</v>
      </c>
      <c r="B101" s="502"/>
      <c r="C101" s="503" t="s">
        <v>60</v>
      </c>
      <c r="D101" s="503"/>
      <c r="E101" s="503"/>
      <c r="F101" s="503"/>
      <c r="G101" s="503"/>
      <c r="H101" s="503"/>
      <c r="I101" s="503"/>
      <c r="J101" s="503"/>
      <c r="K101" s="503"/>
      <c r="L101" s="503"/>
      <c r="M101" s="503"/>
    </row>
    <row r="102" spans="1:13" s="88" customFormat="1" ht="16.5" customHeight="1">
      <c r="A102" s="496" t="s">
        <v>1217</v>
      </c>
      <c r="B102" s="496"/>
      <c r="C102" s="493" t="s">
        <v>1413</v>
      </c>
      <c r="D102" s="493"/>
      <c r="E102" s="493"/>
      <c r="F102" s="493"/>
      <c r="G102" s="493"/>
      <c r="H102" s="493"/>
      <c r="I102" s="493"/>
      <c r="J102" s="493"/>
      <c r="K102" s="493"/>
      <c r="L102" s="493"/>
      <c r="M102" s="493"/>
    </row>
    <row r="103" spans="1:13" s="88" customFormat="1" ht="16.5" customHeight="1">
      <c r="A103" s="496" t="s">
        <v>5786</v>
      </c>
      <c r="B103" s="496"/>
      <c r="C103" s="497" t="s">
        <v>1414</v>
      </c>
      <c r="D103" s="497"/>
      <c r="E103" s="497"/>
      <c r="F103" s="497"/>
      <c r="G103" s="497"/>
      <c r="H103" s="497"/>
      <c r="I103" s="497"/>
      <c r="J103" s="497"/>
      <c r="K103" s="497"/>
      <c r="L103" s="497"/>
      <c r="M103" s="497"/>
    </row>
    <row r="104" spans="1:13" s="88" customFormat="1" ht="16.5" customHeight="1">
      <c r="A104" s="496" t="s">
        <v>1220</v>
      </c>
      <c r="B104" s="496"/>
      <c r="C104" s="493" t="s">
        <v>1415</v>
      </c>
      <c r="D104" s="493"/>
      <c r="E104" s="493"/>
      <c r="F104" s="493"/>
      <c r="G104" s="493"/>
      <c r="H104" s="493"/>
      <c r="I104" s="493"/>
      <c r="J104" s="493"/>
      <c r="K104" s="493"/>
      <c r="L104" s="493"/>
      <c r="M104" s="493"/>
    </row>
    <row r="105" spans="1:13" s="88" customFormat="1" ht="16.5" customHeight="1">
      <c r="A105" s="496" t="s">
        <v>5785</v>
      </c>
      <c r="B105" s="496"/>
      <c r="C105" s="493" t="s">
        <v>1416</v>
      </c>
      <c r="D105" s="493"/>
      <c r="E105" s="493"/>
      <c r="F105" s="493"/>
      <c r="G105" s="493"/>
      <c r="H105" s="493"/>
      <c r="I105" s="493"/>
      <c r="J105" s="493"/>
      <c r="K105" s="493"/>
      <c r="L105" s="493"/>
      <c r="M105" s="493"/>
    </row>
    <row r="106" spans="1:13" s="88" customFormat="1" ht="15.75" customHeight="1">
      <c r="A106" s="89" t="s">
        <v>1223</v>
      </c>
      <c r="B106" s="92" t="s">
        <v>1417</v>
      </c>
      <c r="C106" s="493" t="s">
        <v>1418</v>
      </c>
      <c r="D106" s="493"/>
      <c r="E106" s="493"/>
      <c r="F106" s="493"/>
      <c r="G106" s="493"/>
      <c r="H106" s="493"/>
      <c r="I106" s="493"/>
      <c r="J106" s="493"/>
      <c r="K106" s="493"/>
      <c r="L106" s="493"/>
      <c r="M106" s="493"/>
    </row>
    <row r="107" spans="1:13" s="88" customFormat="1" ht="16.5" customHeight="1">
      <c r="A107" s="89" t="s">
        <v>1228</v>
      </c>
      <c r="B107" s="493" t="s">
        <v>1419</v>
      </c>
      <c r="C107" s="493"/>
      <c r="D107" s="493"/>
      <c r="E107" s="493"/>
      <c r="F107" s="493"/>
      <c r="G107" s="493"/>
      <c r="H107" s="493"/>
      <c r="I107" s="493"/>
      <c r="J107" s="493"/>
      <c r="K107" s="493"/>
      <c r="L107" s="493"/>
      <c r="M107" s="493"/>
    </row>
    <row r="108" spans="1:13" ht="16.5" customHeight="1">
      <c r="A108" s="89" t="s">
        <v>1229</v>
      </c>
      <c r="B108" s="493" t="s">
        <v>1420</v>
      </c>
      <c r="C108" s="493"/>
      <c r="D108" s="493"/>
      <c r="E108" s="493"/>
      <c r="F108" s="493"/>
      <c r="G108" s="493"/>
      <c r="H108" s="493"/>
      <c r="I108" s="493"/>
      <c r="J108" s="493"/>
      <c r="K108" s="493"/>
      <c r="L108" s="493"/>
      <c r="M108" s="493"/>
    </row>
    <row r="109" spans="1:13" ht="21" customHeight="1">
      <c r="B109" s="494" t="s">
        <v>1231</v>
      </c>
      <c r="C109" s="494"/>
      <c r="D109" s="494"/>
      <c r="E109" s="494"/>
      <c r="F109" s="494"/>
      <c r="G109" s="494"/>
      <c r="H109" s="494"/>
      <c r="I109" s="494"/>
      <c r="J109" s="494"/>
      <c r="K109" s="494"/>
      <c r="L109" s="495"/>
    </row>
    <row r="110" spans="1:13" s="93" customFormat="1" ht="16.5" customHeight="1"/>
    <row r="111" spans="1:13" s="93" customFormat="1" ht="16.5" customHeight="1">
      <c r="A111" s="94" t="s">
        <v>1232</v>
      </c>
      <c r="B111" s="93" t="s">
        <v>1421</v>
      </c>
    </row>
    <row r="112" spans="1:13" ht="16.5" customHeight="1"/>
    <row r="113" spans="1:11" s="93" customFormat="1" ht="16.5" customHeight="1">
      <c r="B113" s="95" t="s">
        <v>1246</v>
      </c>
      <c r="C113" s="369" t="s">
        <v>1422</v>
      </c>
      <c r="D113" s="97" t="s">
        <v>1423</v>
      </c>
      <c r="E113" s="104" t="s">
        <v>1238</v>
      </c>
    </row>
    <row r="114" spans="1:11" s="93" customFormat="1" ht="16.5" customHeight="1">
      <c r="B114" s="111" t="s">
        <v>1250</v>
      </c>
      <c r="C114" s="370" t="s">
        <v>1424</v>
      </c>
      <c r="D114" s="371" t="e">
        <f>#N/A</f>
        <v>#N/A</v>
      </c>
      <c r="E114" s="108" t="s">
        <v>1425</v>
      </c>
    </row>
    <row r="115" spans="1:11" s="93" customFormat="1" ht="16.5" customHeight="1">
      <c r="B115" s="111" t="s">
        <v>1252</v>
      </c>
      <c r="C115" s="370" t="s">
        <v>1426</v>
      </c>
      <c r="D115" s="101" t="e">
        <f>#N/A</f>
        <v>#N/A</v>
      </c>
    </row>
    <row r="116" spans="1:11" s="93" customFormat="1" ht="16.5" customHeight="1">
      <c r="B116" s="151" t="s">
        <v>1253</v>
      </c>
      <c r="C116" s="372" t="s">
        <v>1427</v>
      </c>
      <c r="D116" s="107" t="e">
        <f>#N/A</f>
        <v>#N/A</v>
      </c>
    </row>
    <row r="117" spans="1:11" s="93" customFormat="1" ht="16.5" customHeight="1"/>
    <row r="118" spans="1:11" ht="16.5" customHeight="1"/>
    <row r="119" spans="1:11" ht="16.5" customHeight="1">
      <c r="B119" s="98" t="s">
        <v>1324</v>
      </c>
    </row>
    <row r="120" spans="1:11" ht="16.5" customHeight="1">
      <c r="B120" s="373" t="s">
        <v>1428</v>
      </c>
    </row>
    <row r="121" spans="1:11" ht="16.5" customHeight="1">
      <c r="E121" s="204"/>
    </row>
    <row r="122" spans="1:11" ht="16.5" customHeight="1">
      <c r="B122" s="93" t="s">
        <v>1429</v>
      </c>
    </row>
    <row r="123" spans="1:11" ht="16.5" customHeight="1"/>
    <row r="124" spans="1:11" ht="16.5" customHeight="1"/>
    <row r="125" spans="1:11" ht="16.5" customHeight="1">
      <c r="A125" s="94" t="s">
        <v>1244</v>
      </c>
      <c r="B125" s="93" t="s">
        <v>1430</v>
      </c>
    </row>
    <row r="126" spans="1:11" ht="16.5" customHeight="1"/>
    <row r="127" spans="1:11" ht="16.5" customHeight="1">
      <c r="B127" s="94" t="s">
        <v>1431</v>
      </c>
      <c r="C127" s="104" t="s">
        <v>1238</v>
      </c>
      <c r="D127" s="104"/>
      <c r="E127" s="104"/>
      <c r="F127" s="518" t="s">
        <v>1432</v>
      </c>
      <c r="G127" s="518"/>
      <c r="H127" s="518"/>
      <c r="I127" s="518"/>
      <c r="J127" s="93"/>
      <c r="K127" s="93"/>
    </row>
    <row r="128" spans="1:11" ht="16.5" customHeight="1">
      <c r="B128" s="93">
        <f>DATEVALUE("2011-8-22")</f>
        <v>40777</v>
      </c>
      <c r="C128" s="108" t="s">
        <v>1433</v>
      </c>
      <c r="D128" s="93"/>
      <c r="E128" s="93"/>
      <c r="F128" s="93" t="s">
        <v>1434</v>
      </c>
      <c r="G128" s="93"/>
      <c r="H128" s="93"/>
      <c r="I128" s="93"/>
      <c r="J128" s="93"/>
      <c r="K128" s="93"/>
    </row>
    <row r="129" spans="2:13" ht="16.5" customHeight="1">
      <c r="B129" s="93">
        <f>DATEVALUE("22-AUG-11")</f>
        <v>40777</v>
      </c>
      <c r="C129" s="108" t="s">
        <v>1435</v>
      </c>
      <c r="D129" s="93"/>
      <c r="E129" s="93"/>
      <c r="F129" s="93" t="s">
        <v>1434</v>
      </c>
      <c r="G129" s="93"/>
      <c r="H129" s="93"/>
      <c r="I129" s="93"/>
      <c r="J129" s="93"/>
      <c r="K129" s="93"/>
    </row>
    <row r="130" spans="2:13" ht="16.5" customHeight="1">
      <c r="B130" s="93">
        <f>DATEVALUE("2011-2-23")</f>
        <v>40597</v>
      </c>
      <c r="C130" s="108" t="s">
        <v>1436</v>
      </c>
      <c r="D130" s="93"/>
      <c r="E130" s="93"/>
      <c r="F130" s="93" t="s">
        <v>1437</v>
      </c>
      <c r="G130" s="93"/>
      <c r="H130" s="93"/>
      <c r="I130" s="93"/>
      <c r="J130" s="93"/>
      <c r="K130" s="93"/>
    </row>
    <row r="131" spans="2:13" ht="16.5" customHeight="1">
      <c r="B131" s="93">
        <f>DATEVALUE("5-JUL")</f>
        <v>44747</v>
      </c>
      <c r="C131" s="108" t="s">
        <v>1438</v>
      </c>
      <c r="D131" s="93"/>
      <c r="E131" s="93"/>
      <c r="F131" s="93" t="s">
        <v>1439</v>
      </c>
      <c r="G131" s="93"/>
      <c r="H131" s="93"/>
      <c r="I131" s="93"/>
      <c r="J131" s="93"/>
      <c r="K131" s="93"/>
    </row>
    <row r="132" spans="2:13" ht="16.5" customHeight="1">
      <c r="B132" s="93"/>
      <c r="C132" s="93"/>
      <c r="D132" s="93"/>
      <c r="E132" s="93"/>
      <c r="F132" s="93"/>
      <c r="G132" s="93"/>
      <c r="H132" s="93"/>
      <c r="I132" s="93"/>
      <c r="J132" s="93"/>
      <c r="K132" s="93"/>
    </row>
    <row r="133" spans="2:13" ht="24.75" customHeight="1">
      <c r="B133" s="493" t="s">
        <v>1440</v>
      </c>
      <c r="C133" s="493"/>
      <c r="D133" s="493"/>
      <c r="E133" s="493"/>
      <c r="F133" s="493"/>
      <c r="G133" s="493"/>
      <c r="H133" s="493"/>
      <c r="I133" s="493"/>
      <c r="J133" s="493"/>
      <c r="K133" s="493"/>
      <c r="L133" s="493"/>
      <c r="M133" s="493"/>
    </row>
    <row r="134" spans="2:13" ht="14.25" customHeight="1">
      <c r="B134" s="90"/>
      <c r="C134" s="90"/>
      <c r="D134" s="90"/>
      <c r="E134" s="90"/>
      <c r="F134" s="90"/>
      <c r="G134" s="90"/>
      <c r="H134" s="90"/>
      <c r="I134" s="90"/>
      <c r="J134" s="90"/>
      <c r="K134" s="90"/>
      <c r="L134" s="90"/>
      <c r="M134" s="90"/>
    </row>
    <row r="135" spans="2:13" ht="14.25" customHeight="1">
      <c r="B135" s="90"/>
      <c r="C135" s="90"/>
      <c r="D135" s="90"/>
      <c r="E135" s="90"/>
      <c r="F135" s="90"/>
      <c r="G135" s="90"/>
      <c r="H135" s="90"/>
      <c r="I135" s="90"/>
      <c r="J135" s="90"/>
      <c r="K135" s="90"/>
      <c r="L135" s="90"/>
      <c r="M135" s="90"/>
    </row>
    <row r="136" spans="2:13" ht="14.25" customHeight="1">
      <c r="B136" s="90"/>
      <c r="C136" s="90"/>
      <c r="D136" s="90"/>
      <c r="E136" s="90"/>
      <c r="F136" s="90"/>
      <c r="G136" s="90"/>
      <c r="H136" s="90"/>
      <c r="I136" s="90"/>
      <c r="J136" s="90"/>
      <c r="K136" s="90"/>
      <c r="L136" s="90"/>
      <c r="M136" s="90"/>
    </row>
    <row r="137" spans="2:13" ht="14.25" customHeight="1">
      <c r="B137" s="90"/>
      <c r="C137" s="90"/>
      <c r="D137" s="90"/>
      <c r="E137" s="90"/>
      <c r="F137" s="90"/>
      <c r="G137" s="90"/>
      <c r="H137" s="90"/>
      <c r="I137" s="90"/>
      <c r="J137" s="90"/>
      <c r="K137" s="90"/>
      <c r="L137" s="90"/>
      <c r="M137" s="90"/>
    </row>
    <row r="138" spans="2:13" ht="14.25" customHeight="1">
      <c r="B138" s="90"/>
      <c r="C138" s="90"/>
      <c r="D138" s="90"/>
      <c r="E138" s="90"/>
      <c r="F138" s="90"/>
      <c r="G138" s="90"/>
      <c r="H138" s="90"/>
      <c r="I138" s="90"/>
      <c r="J138" s="90"/>
      <c r="K138" s="90"/>
      <c r="L138" s="90"/>
      <c r="M138" s="90"/>
    </row>
    <row r="139" spans="2:13" ht="14.25" customHeight="1">
      <c r="B139" s="90"/>
      <c r="C139" s="90"/>
      <c r="D139" s="90"/>
      <c r="E139" s="90"/>
      <c r="F139" s="90"/>
      <c r="G139" s="90"/>
      <c r="H139" s="90"/>
      <c r="I139" s="90"/>
      <c r="J139" s="90"/>
      <c r="K139" s="90"/>
      <c r="L139" s="90"/>
      <c r="M139" s="90"/>
    </row>
    <row r="140" spans="2:13" ht="14.25" customHeight="1">
      <c r="B140" s="90"/>
      <c r="C140" s="90"/>
      <c r="D140" s="90"/>
      <c r="E140" s="90"/>
      <c r="F140" s="90"/>
      <c r="G140" s="90"/>
      <c r="H140" s="90"/>
      <c r="I140" s="90"/>
      <c r="J140" s="90"/>
      <c r="K140" s="90"/>
      <c r="L140" s="90"/>
      <c r="M140" s="90"/>
    </row>
    <row r="141" spans="2:13" ht="14.25" customHeight="1">
      <c r="B141" s="90"/>
      <c r="C141" s="90"/>
      <c r="D141" s="90"/>
      <c r="E141" s="90"/>
      <c r="F141" s="90"/>
      <c r="G141" s="90"/>
      <c r="H141" s="90"/>
      <c r="I141" s="90"/>
      <c r="J141" s="90"/>
      <c r="K141" s="90"/>
      <c r="L141" s="90"/>
      <c r="M141" s="90"/>
    </row>
    <row r="142" spans="2:13" ht="14.25" customHeight="1">
      <c r="B142" s="90"/>
      <c r="C142" s="90"/>
      <c r="D142" s="90"/>
      <c r="E142" s="90"/>
      <c r="F142" s="90"/>
      <c r="G142" s="90"/>
      <c r="H142" s="90"/>
      <c r="I142" s="90"/>
      <c r="J142" s="90"/>
      <c r="K142" s="90"/>
      <c r="L142" s="90"/>
      <c r="M142" s="90"/>
    </row>
    <row r="143" spans="2:13" ht="14.25" customHeight="1">
      <c r="B143" s="90"/>
      <c r="C143" s="90"/>
      <c r="D143" s="90"/>
      <c r="E143" s="90"/>
      <c r="F143" s="90"/>
      <c r="G143" s="90"/>
      <c r="H143" s="90"/>
      <c r="I143" s="90"/>
      <c r="J143" s="90"/>
      <c r="K143" s="90"/>
      <c r="L143" s="90"/>
      <c r="M143" s="90"/>
    </row>
    <row r="144" spans="2:13" ht="14.25" customHeight="1">
      <c r="B144" s="90"/>
      <c r="C144" s="90"/>
      <c r="D144" s="90"/>
      <c r="E144" s="90"/>
      <c r="F144" s="90"/>
      <c r="G144" s="90"/>
      <c r="H144" s="90"/>
      <c r="I144" s="90"/>
      <c r="J144" s="90"/>
      <c r="K144" s="90"/>
      <c r="L144" s="90"/>
      <c r="M144" s="90"/>
    </row>
    <row r="145" spans="2:13" ht="14.25" customHeight="1">
      <c r="B145" s="90"/>
      <c r="C145" s="90"/>
      <c r="D145" s="90"/>
      <c r="E145" s="90"/>
      <c r="F145" s="90"/>
      <c r="G145" s="90"/>
      <c r="H145" s="90"/>
      <c r="I145" s="90"/>
      <c r="J145" s="90"/>
      <c r="K145" s="90"/>
      <c r="L145" s="90"/>
      <c r="M145" s="90"/>
    </row>
    <row r="146" spans="2:13" ht="14.25" customHeight="1">
      <c r="B146" s="90"/>
      <c r="C146" s="90"/>
      <c r="D146" s="90"/>
      <c r="E146" s="90"/>
      <c r="F146" s="90"/>
      <c r="G146" s="90"/>
      <c r="H146" s="90"/>
      <c r="I146" s="90"/>
      <c r="J146" s="90"/>
      <c r="K146" s="90"/>
      <c r="L146" s="90"/>
      <c r="M146" s="90"/>
    </row>
    <row r="147" spans="2:13" ht="14.25" customHeight="1">
      <c r="B147" s="90"/>
      <c r="C147" s="90"/>
      <c r="D147" s="90"/>
      <c r="E147" s="90"/>
      <c r="F147" s="90"/>
      <c r="G147" s="90"/>
      <c r="H147" s="90"/>
      <c r="I147" s="90"/>
      <c r="J147" s="90"/>
      <c r="K147" s="90"/>
      <c r="L147" s="90"/>
      <c r="M147" s="90"/>
    </row>
    <row r="148" spans="2:13" ht="14.25" customHeight="1">
      <c r="B148" s="90"/>
      <c r="C148" s="90"/>
      <c r="D148" s="90"/>
      <c r="E148" s="90"/>
      <c r="F148" s="90"/>
      <c r="G148" s="90"/>
      <c r="H148" s="90"/>
      <c r="I148" s="90"/>
      <c r="J148" s="90"/>
      <c r="K148" s="90"/>
      <c r="L148" s="90"/>
      <c r="M148" s="90"/>
    </row>
    <row r="149" spans="2:13" ht="14.25" customHeight="1">
      <c r="B149" s="90"/>
      <c r="C149" s="90"/>
      <c r="D149" s="90"/>
      <c r="E149" s="90"/>
      <c r="F149" s="90"/>
      <c r="G149" s="90"/>
      <c r="H149" s="90"/>
      <c r="I149" s="90"/>
      <c r="J149" s="90"/>
      <c r="K149" s="90"/>
      <c r="L149" s="90"/>
      <c r="M149" s="90"/>
    </row>
    <row r="150" spans="2:13" ht="14.25" customHeight="1">
      <c r="B150" s="90"/>
      <c r="C150" s="90"/>
      <c r="D150" s="90"/>
      <c r="E150" s="90"/>
      <c r="F150" s="90"/>
      <c r="G150" s="90"/>
      <c r="H150" s="90"/>
      <c r="I150" s="90"/>
      <c r="J150" s="90"/>
      <c r="K150" s="90"/>
      <c r="L150" s="90"/>
      <c r="M150" s="90"/>
    </row>
    <row r="151" spans="2:13" ht="14.25" customHeight="1">
      <c r="B151" s="90"/>
      <c r="C151" s="90"/>
      <c r="D151" s="90"/>
      <c r="E151" s="90"/>
      <c r="F151" s="90"/>
      <c r="G151" s="90"/>
      <c r="H151" s="90"/>
      <c r="I151" s="90"/>
      <c r="J151" s="90"/>
      <c r="K151" s="90"/>
      <c r="L151" s="90"/>
      <c r="M151" s="90"/>
    </row>
    <row r="152" spans="2:13" ht="14.25" customHeight="1">
      <c r="B152" s="90"/>
      <c r="C152" s="90"/>
      <c r="D152" s="90"/>
      <c r="E152" s="90"/>
      <c r="F152" s="90"/>
      <c r="G152" s="90"/>
      <c r="H152" s="90"/>
      <c r="I152" s="90"/>
      <c r="J152" s="90"/>
      <c r="K152" s="90"/>
      <c r="L152" s="90"/>
      <c r="M152" s="90"/>
    </row>
    <row r="153" spans="2:13" ht="14.25" customHeight="1">
      <c r="B153" s="90"/>
      <c r="C153" s="90"/>
      <c r="D153" s="90"/>
      <c r="E153" s="90"/>
      <c r="F153" s="90"/>
      <c r="G153" s="90"/>
      <c r="H153" s="90"/>
      <c r="I153" s="90"/>
      <c r="J153" s="90"/>
      <c r="K153" s="90"/>
      <c r="L153" s="90"/>
      <c r="M153" s="90"/>
    </row>
    <row r="154" spans="2:13" ht="14.25" customHeight="1">
      <c r="B154" s="90"/>
      <c r="C154" s="90"/>
      <c r="D154" s="90"/>
      <c r="E154" s="90"/>
      <c r="F154" s="90"/>
      <c r="G154" s="90"/>
      <c r="H154" s="90"/>
      <c r="I154" s="90"/>
      <c r="J154" s="90"/>
      <c r="K154" s="90"/>
      <c r="L154" s="90"/>
      <c r="M154" s="90"/>
    </row>
    <row r="155" spans="2:13" ht="14.25" customHeight="1">
      <c r="B155" s="90"/>
      <c r="C155" s="90"/>
      <c r="D155" s="90"/>
      <c r="E155" s="90"/>
      <c r="F155" s="90"/>
      <c r="G155" s="90"/>
      <c r="H155" s="90"/>
      <c r="I155" s="90"/>
      <c r="J155" s="90"/>
      <c r="K155" s="90"/>
      <c r="L155" s="90"/>
      <c r="M155" s="90"/>
    </row>
    <row r="156" spans="2:13" ht="14.25" customHeight="1">
      <c r="B156" s="90"/>
      <c r="C156" s="90"/>
      <c r="D156" s="90"/>
      <c r="E156" s="90"/>
      <c r="F156" s="90"/>
      <c r="G156" s="90"/>
      <c r="H156" s="90"/>
      <c r="I156" s="90"/>
      <c r="J156" s="90"/>
      <c r="K156" s="90"/>
      <c r="L156" s="90"/>
      <c r="M156" s="90"/>
    </row>
    <row r="157" spans="2:13" ht="14.25" customHeight="1">
      <c r="B157" s="90"/>
      <c r="C157" s="90"/>
      <c r="D157" s="90"/>
      <c r="E157" s="90"/>
      <c r="F157" s="90"/>
      <c r="G157" s="90"/>
      <c r="H157" s="90"/>
      <c r="I157" s="90"/>
      <c r="J157" s="90"/>
      <c r="K157" s="90"/>
      <c r="L157" s="90"/>
      <c r="M157" s="90"/>
    </row>
    <row r="158" spans="2:13" ht="14.25" customHeight="1">
      <c r="B158" s="90"/>
      <c r="C158" s="90"/>
      <c r="D158" s="90"/>
      <c r="E158" s="90"/>
      <c r="F158" s="90"/>
      <c r="G158" s="90"/>
      <c r="H158" s="90"/>
      <c r="I158" s="90"/>
      <c r="J158" s="90"/>
      <c r="K158" s="90"/>
      <c r="L158" s="90"/>
      <c r="M158" s="90"/>
    </row>
    <row r="159" spans="2:13" ht="14.25" customHeight="1">
      <c r="B159" s="90"/>
      <c r="C159" s="90"/>
      <c r="D159" s="90"/>
      <c r="E159" s="90"/>
      <c r="F159" s="90"/>
      <c r="G159" s="90"/>
      <c r="H159" s="90"/>
      <c r="I159" s="90"/>
      <c r="J159" s="90"/>
      <c r="K159" s="90"/>
      <c r="L159" s="90"/>
      <c r="M159" s="90"/>
    </row>
    <row r="160" spans="2:13" ht="14.25" customHeight="1">
      <c r="B160" s="90"/>
      <c r="C160" s="90"/>
      <c r="D160" s="90"/>
      <c r="E160" s="90"/>
      <c r="F160" s="90"/>
      <c r="G160" s="90"/>
      <c r="H160" s="90"/>
      <c r="I160" s="90"/>
      <c r="J160" s="90"/>
      <c r="K160" s="90"/>
      <c r="L160" s="90"/>
      <c r="M160" s="90"/>
    </row>
    <row r="161" spans="2:13" ht="14.25" customHeight="1">
      <c r="B161" s="90"/>
      <c r="C161" s="90"/>
      <c r="D161" s="90"/>
      <c r="E161" s="90"/>
      <c r="F161" s="90"/>
      <c r="G161" s="90"/>
      <c r="H161" s="90"/>
      <c r="I161" s="90"/>
      <c r="J161" s="90"/>
      <c r="K161" s="90"/>
      <c r="L161" s="90"/>
      <c r="M161" s="90"/>
    </row>
    <row r="162" spans="2:13" ht="14.25" customHeight="1">
      <c r="B162" s="90"/>
      <c r="C162" s="90"/>
      <c r="D162" s="90"/>
      <c r="E162" s="90"/>
      <c r="F162" s="90"/>
      <c r="G162" s="90"/>
      <c r="H162" s="90"/>
      <c r="I162" s="90"/>
      <c r="J162" s="90"/>
      <c r="K162" s="90"/>
      <c r="L162" s="90"/>
      <c r="M162" s="90"/>
    </row>
    <row r="163" spans="2:13" ht="14.25" customHeight="1">
      <c r="B163" s="90"/>
      <c r="C163" s="90"/>
      <c r="D163" s="90"/>
      <c r="E163" s="90"/>
      <c r="F163" s="90"/>
      <c r="G163" s="90"/>
      <c r="H163" s="90"/>
      <c r="I163" s="90"/>
      <c r="J163" s="90"/>
      <c r="K163" s="90"/>
      <c r="L163" s="90"/>
      <c r="M163" s="90"/>
    </row>
    <row r="164" spans="2:13" ht="14.25" customHeight="1">
      <c r="B164" s="90"/>
      <c r="C164" s="90"/>
      <c r="D164" s="90"/>
      <c r="E164" s="90"/>
      <c r="F164" s="90"/>
      <c r="G164" s="90"/>
      <c r="H164" s="90"/>
      <c r="I164" s="90"/>
      <c r="J164" s="90"/>
      <c r="K164" s="90"/>
      <c r="L164" s="90"/>
      <c r="M164" s="90"/>
    </row>
    <row r="165" spans="2:13" ht="14.25" customHeight="1">
      <c r="B165" s="90"/>
      <c r="C165" s="90"/>
      <c r="D165" s="90"/>
      <c r="E165" s="90"/>
      <c r="F165" s="90"/>
      <c r="G165" s="90"/>
      <c r="H165" s="90"/>
      <c r="I165" s="90"/>
      <c r="J165" s="90"/>
      <c r="K165" s="90"/>
      <c r="L165" s="90"/>
      <c r="M165" s="90"/>
    </row>
    <row r="166" spans="2:13" ht="14.25" customHeight="1">
      <c r="B166" s="90"/>
      <c r="C166" s="90"/>
      <c r="D166" s="90"/>
      <c r="E166" s="90"/>
      <c r="F166" s="90"/>
      <c r="G166" s="90"/>
      <c r="H166" s="90"/>
      <c r="I166" s="90"/>
      <c r="J166" s="90"/>
      <c r="K166" s="90"/>
      <c r="L166" s="90"/>
      <c r="M166" s="90"/>
    </row>
    <row r="167" spans="2:13" ht="14.25" customHeight="1">
      <c r="B167" s="90"/>
      <c r="C167" s="90"/>
      <c r="D167" s="90"/>
      <c r="E167" s="90"/>
      <c r="F167" s="90"/>
      <c r="G167" s="90"/>
      <c r="H167" s="90"/>
      <c r="I167" s="90"/>
      <c r="J167" s="90"/>
      <c r="K167" s="90"/>
      <c r="L167" s="90"/>
      <c r="M167" s="90"/>
    </row>
    <row r="168" spans="2:13" ht="14.25" customHeight="1">
      <c r="B168" s="90"/>
      <c r="C168" s="90"/>
      <c r="D168" s="90"/>
      <c r="E168" s="90"/>
      <c r="F168" s="90"/>
      <c r="G168" s="90"/>
      <c r="H168" s="90"/>
      <c r="I168" s="90"/>
      <c r="J168" s="90"/>
      <c r="K168" s="90"/>
      <c r="L168" s="90"/>
      <c r="M168" s="90"/>
    </row>
    <row r="169" spans="2:13" ht="14.25" customHeight="1">
      <c r="B169" s="90"/>
      <c r="C169" s="90"/>
      <c r="D169" s="90"/>
      <c r="E169" s="90"/>
      <c r="F169" s="90"/>
      <c r="G169" s="90"/>
      <c r="H169" s="90"/>
      <c r="I169" s="90"/>
      <c r="J169" s="90"/>
      <c r="K169" s="90"/>
      <c r="L169" s="90"/>
      <c r="M169" s="90"/>
    </row>
    <row r="170" spans="2:13" ht="14.25" customHeight="1">
      <c r="B170" s="90"/>
      <c r="C170" s="90"/>
      <c r="D170" s="90"/>
      <c r="E170" s="90"/>
      <c r="F170" s="90"/>
      <c r="G170" s="90"/>
      <c r="H170" s="90"/>
      <c r="I170" s="90"/>
      <c r="J170" s="90"/>
      <c r="K170" s="90"/>
      <c r="L170" s="90"/>
      <c r="M170" s="90"/>
    </row>
    <row r="171" spans="2:13" ht="14.25" customHeight="1">
      <c r="B171" s="90"/>
      <c r="C171" s="90"/>
      <c r="D171" s="90"/>
      <c r="E171" s="90"/>
      <c r="F171" s="90"/>
      <c r="G171" s="90"/>
      <c r="H171" s="90"/>
      <c r="I171" s="90"/>
      <c r="J171" s="90"/>
      <c r="K171" s="90"/>
      <c r="L171" s="90"/>
      <c r="M171" s="90"/>
    </row>
    <row r="172" spans="2:13" ht="14.25" customHeight="1">
      <c r="B172" s="90"/>
      <c r="C172" s="90"/>
      <c r="D172" s="90"/>
      <c r="E172" s="90"/>
      <c r="F172" s="90"/>
      <c r="G172" s="90"/>
      <c r="H172" s="90"/>
      <c r="I172" s="90"/>
      <c r="J172" s="90"/>
      <c r="K172" s="90"/>
      <c r="L172" s="90"/>
      <c r="M172" s="90"/>
    </row>
    <row r="173" spans="2:13" ht="14.25" customHeight="1">
      <c r="B173" s="90"/>
      <c r="C173" s="90"/>
      <c r="D173" s="90"/>
      <c r="E173" s="90"/>
      <c r="F173" s="90"/>
      <c r="G173" s="90"/>
      <c r="H173" s="90"/>
      <c r="I173" s="90"/>
      <c r="J173" s="90"/>
      <c r="K173" s="90"/>
      <c r="L173" s="90"/>
      <c r="M173" s="90"/>
    </row>
    <row r="174" spans="2:13" ht="14.25" customHeight="1">
      <c r="B174" s="90"/>
      <c r="C174" s="90"/>
      <c r="D174" s="90"/>
      <c r="E174" s="90"/>
      <c r="F174" s="90"/>
      <c r="G174" s="90"/>
      <c r="H174" s="90"/>
      <c r="I174" s="90"/>
      <c r="J174" s="90"/>
      <c r="K174" s="90"/>
      <c r="L174" s="90"/>
      <c r="M174" s="90"/>
    </row>
    <row r="175" spans="2:13" ht="14.25" customHeight="1">
      <c r="B175" s="90"/>
      <c r="C175" s="90"/>
      <c r="D175" s="90"/>
      <c r="E175" s="90"/>
      <c r="F175" s="90"/>
      <c r="G175" s="90"/>
      <c r="H175" s="90"/>
      <c r="I175" s="90"/>
      <c r="J175" s="90"/>
      <c r="K175" s="90"/>
      <c r="L175" s="90"/>
      <c r="M175" s="90"/>
    </row>
    <row r="176" spans="2:13" ht="14.25" customHeight="1">
      <c r="B176" s="90"/>
      <c r="C176" s="90"/>
      <c r="D176" s="90"/>
      <c r="E176" s="90"/>
      <c r="F176" s="90"/>
      <c r="G176" s="90"/>
      <c r="H176" s="90"/>
      <c r="I176" s="90"/>
      <c r="J176" s="90"/>
      <c r="K176" s="90"/>
      <c r="L176" s="90"/>
      <c r="M176" s="90"/>
    </row>
    <row r="177" spans="2:13" ht="14.25" customHeight="1">
      <c r="B177" s="90"/>
      <c r="C177" s="90"/>
      <c r="D177" s="90"/>
      <c r="E177" s="90"/>
      <c r="F177" s="90"/>
      <c r="G177" s="90"/>
      <c r="H177" s="90"/>
      <c r="I177" s="90"/>
      <c r="J177" s="90"/>
      <c r="K177" s="90"/>
      <c r="L177" s="90"/>
      <c r="M177" s="90"/>
    </row>
    <row r="178" spans="2:13" ht="14.25" customHeight="1">
      <c r="B178" s="90"/>
      <c r="C178" s="90"/>
      <c r="D178" s="90"/>
      <c r="E178" s="90"/>
      <c r="F178" s="90"/>
      <c r="G178" s="90"/>
      <c r="H178" s="90"/>
      <c r="I178" s="90"/>
      <c r="J178" s="90"/>
      <c r="K178" s="90"/>
      <c r="L178" s="90"/>
      <c r="M178" s="90"/>
    </row>
    <row r="179" spans="2:13" ht="14.25" customHeight="1">
      <c r="B179" s="90"/>
      <c r="C179" s="90"/>
      <c r="D179" s="90"/>
      <c r="E179" s="90"/>
      <c r="F179" s="90"/>
      <c r="G179" s="90"/>
      <c r="H179" s="90"/>
      <c r="I179" s="90"/>
      <c r="J179" s="90"/>
      <c r="K179" s="90"/>
      <c r="L179" s="90"/>
      <c r="M179" s="90"/>
    </row>
    <row r="180" spans="2:13" ht="14.25" customHeight="1">
      <c r="B180" s="90"/>
      <c r="C180" s="90"/>
      <c r="D180" s="90"/>
      <c r="E180" s="90"/>
      <c r="F180" s="90"/>
      <c r="G180" s="90"/>
      <c r="H180" s="90"/>
      <c r="I180" s="90"/>
      <c r="J180" s="90"/>
      <c r="K180" s="90"/>
      <c r="L180" s="90"/>
      <c r="M180" s="90"/>
    </row>
    <row r="181" spans="2:13" ht="14.25" customHeight="1">
      <c r="B181" s="90"/>
      <c r="C181" s="90"/>
      <c r="D181" s="90"/>
      <c r="E181" s="90"/>
      <c r="F181" s="90"/>
      <c r="G181" s="90"/>
      <c r="H181" s="90"/>
      <c r="I181" s="90"/>
      <c r="J181" s="90"/>
      <c r="K181" s="90"/>
      <c r="L181" s="90"/>
      <c r="M181" s="90"/>
    </row>
    <row r="182" spans="2:13" ht="14.25" customHeight="1">
      <c r="B182" s="90"/>
      <c r="C182" s="90"/>
      <c r="D182" s="90"/>
      <c r="E182" s="90"/>
      <c r="F182" s="90"/>
      <c r="G182" s="90"/>
      <c r="H182" s="90"/>
      <c r="I182" s="90"/>
      <c r="J182" s="90"/>
      <c r="K182" s="90"/>
      <c r="L182" s="90"/>
      <c r="M182" s="90"/>
    </row>
    <row r="183" spans="2:13" ht="16.5" customHeight="1">
      <c r="B183" s="93"/>
      <c r="C183" s="93"/>
      <c r="D183" s="93"/>
      <c r="E183" s="93"/>
      <c r="F183" s="93"/>
      <c r="G183" s="93"/>
      <c r="H183" s="93"/>
      <c r="I183" s="93"/>
      <c r="J183" s="93"/>
      <c r="K183" s="93"/>
    </row>
    <row r="184" spans="2:13" ht="16.5" customHeight="1">
      <c r="B184" s="93"/>
      <c r="C184" s="93"/>
      <c r="D184" s="93"/>
      <c r="E184" s="93"/>
      <c r="F184" s="93"/>
      <c r="G184" s="93"/>
      <c r="H184" s="93"/>
      <c r="I184" s="93"/>
      <c r="J184" s="93"/>
      <c r="K184" s="93"/>
    </row>
    <row r="185" spans="2:13" ht="16.5" customHeight="1">
      <c r="C185" s="93"/>
      <c r="D185" s="93"/>
      <c r="E185" s="93"/>
      <c r="F185" s="93"/>
      <c r="G185" s="93"/>
      <c r="H185" s="93"/>
      <c r="I185" s="93"/>
      <c r="J185" s="93"/>
      <c r="K185" s="93"/>
    </row>
    <row r="186" spans="2:13" ht="16.5" customHeight="1">
      <c r="B186" s="93"/>
      <c r="C186" s="93"/>
      <c r="D186" s="93"/>
      <c r="E186" s="93"/>
      <c r="F186" s="93"/>
      <c r="G186" s="93"/>
      <c r="H186" s="93"/>
      <c r="I186" s="93"/>
      <c r="J186" s="93"/>
      <c r="K186" s="93"/>
    </row>
    <row r="200" spans="1:13" s="88" customFormat="1" ht="26.25" customHeight="1">
      <c r="A200" s="498" t="s">
        <v>63</v>
      </c>
      <c r="B200" s="498"/>
      <c r="C200" s="499"/>
      <c r="D200" s="87"/>
      <c r="E200" s="500" t="str">
        <f>HYPERLINK("#目录!A39","跳转回到目录页")</f>
        <v>跳转回到目录页</v>
      </c>
      <c r="F200" s="501"/>
    </row>
    <row r="201" spans="1:13" s="88" customFormat="1" ht="26.25" customHeight="1">
      <c r="A201" s="502" t="s">
        <v>1216</v>
      </c>
      <c r="B201" s="502"/>
      <c r="C201" s="503" t="s">
        <v>64</v>
      </c>
      <c r="D201" s="503"/>
      <c r="E201" s="503"/>
      <c r="F201" s="503"/>
      <c r="G201" s="503"/>
      <c r="H201" s="503"/>
      <c r="I201" s="503"/>
      <c r="J201" s="503"/>
      <c r="K201" s="503"/>
      <c r="L201" s="503"/>
      <c r="M201" s="503"/>
    </row>
    <row r="202" spans="1:13" s="88" customFormat="1" ht="16.5" customHeight="1">
      <c r="A202" s="496" t="s">
        <v>1217</v>
      </c>
      <c r="B202" s="496"/>
      <c r="C202" s="493" t="s">
        <v>1441</v>
      </c>
      <c r="D202" s="493"/>
      <c r="E202" s="493"/>
      <c r="F202" s="493"/>
      <c r="G202" s="493"/>
      <c r="H202" s="493"/>
      <c r="I202" s="493"/>
      <c r="J202" s="493"/>
      <c r="K202" s="493"/>
      <c r="L202" s="493"/>
      <c r="M202" s="493"/>
    </row>
    <row r="203" spans="1:13" s="88" customFormat="1" ht="16.5" customHeight="1">
      <c r="A203" s="496" t="s">
        <v>5786</v>
      </c>
      <c r="B203" s="496"/>
      <c r="C203" s="497" t="s">
        <v>1442</v>
      </c>
      <c r="D203" s="497"/>
      <c r="E203" s="497"/>
      <c r="F203" s="497"/>
      <c r="G203" s="497"/>
      <c r="H203" s="497"/>
      <c r="I203" s="497"/>
      <c r="J203" s="497"/>
      <c r="K203" s="497"/>
      <c r="L203" s="497"/>
      <c r="M203" s="497"/>
    </row>
    <row r="204" spans="1:13" s="88" customFormat="1" ht="16.5" customHeight="1">
      <c r="A204" s="496" t="s">
        <v>1220</v>
      </c>
      <c r="B204" s="496"/>
      <c r="C204" s="493" t="s">
        <v>1443</v>
      </c>
      <c r="D204" s="493"/>
      <c r="E204" s="493"/>
      <c r="F204" s="493"/>
      <c r="G204" s="493"/>
      <c r="H204" s="493"/>
      <c r="I204" s="493"/>
      <c r="J204" s="493"/>
      <c r="K204" s="493"/>
      <c r="L204" s="493"/>
      <c r="M204" s="493"/>
    </row>
    <row r="205" spans="1:13" s="88" customFormat="1" ht="16.5" customHeight="1">
      <c r="A205" s="496" t="s">
        <v>5785</v>
      </c>
      <c r="B205" s="496"/>
      <c r="C205" s="493" t="s">
        <v>1444</v>
      </c>
      <c r="D205" s="493"/>
      <c r="E205" s="493"/>
      <c r="F205" s="493"/>
      <c r="G205" s="493"/>
      <c r="H205" s="493"/>
      <c r="I205" s="493"/>
      <c r="J205" s="493"/>
      <c r="K205" s="493"/>
      <c r="L205" s="493"/>
      <c r="M205" s="493"/>
    </row>
    <row r="206" spans="1:13" s="88" customFormat="1" ht="16.5" customHeight="1">
      <c r="A206" s="89" t="s">
        <v>1223</v>
      </c>
      <c r="B206" s="92" t="s">
        <v>1445</v>
      </c>
      <c r="C206" s="493" t="s">
        <v>1446</v>
      </c>
      <c r="D206" s="493"/>
      <c r="E206" s="493"/>
      <c r="F206" s="493"/>
      <c r="G206" s="493"/>
      <c r="H206" s="493"/>
      <c r="I206" s="493"/>
      <c r="J206" s="493"/>
      <c r="K206" s="493"/>
      <c r="L206" s="493"/>
      <c r="M206" s="493"/>
    </row>
    <row r="207" spans="1:13" s="88" customFormat="1" ht="24.75" customHeight="1">
      <c r="A207" s="89"/>
      <c r="B207" s="92" t="s">
        <v>1447</v>
      </c>
      <c r="C207" s="493" t="s">
        <v>1448</v>
      </c>
      <c r="D207" s="493"/>
      <c r="E207" s="493"/>
      <c r="F207" s="493"/>
      <c r="G207" s="493"/>
      <c r="H207" s="493"/>
      <c r="I207" s="493"/>
      <c r="J207" s="493"/>
      <c r="K207" s="493"/>
      <c r="L207" s="493"/>
      <c r="M207" s="493"/>
    </row>
    <row r="208" spans="1:13" s="88" customFormat="1" ht="24.75" customHeight="1">
      <c r="A208" s="89"/>
      <c r="B208" s="90" t="s">
        <v>1449</v>
      </c>
      <c r="C208" s="493" t="s">
        <v>1450</v>
      </c>
      <c r="D208" s="493"/>
      <c r="E208" s="493"/>
      <c r="F208" s="493"/>
      <c r="G208" s="493"/>
      <c r="H208" s="493"/>
      <c r="I208" s="493"/>
      <c r="J208" s="493"/>
      <c r="K208" s="493"/>
      <c r="L208" s="493"/>
      <c r="M208" s="493"/>
    </row>
    <row r="209" spans="1:13" s="88" customFormat="1" ht="16.5" customHeight="1">
      <c r="A209" s="89" t="s">
        <v>1228</v>
      </c>
      <c r="B209" s="493" t="s">
        <v>1451</v>
      </c>
      <c r="C209" s="493"/>
      <c r="D209" s="493"/>
      <c r="E209" s="493"/>
      <c r="F209" s="493"/>
      <c r="G209" s="493"/>
      <c r="H209" s="493"/>
      <c r="I209" s="493"/>
      <c r="J209" s="493"/>
      <c r="K209" s="493"/>
      <c r="L209" s="493"/>
      <c r="M209" s="493"/>
    </row>
    <row r="210" spans="1:13" ht="16.5" customHeight="1">
      <c r="A210" s="89" t="s">
        <v>1229</v>
      </c>
      <c r="B210" s="493" t="s">
        <v>1452</v>
      </c>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1295</v>
      </c>
    </row>
    <row r="214" spans="1:13" s="93" customFormat="1" ht="16.5" customHeight="1"/>
    <row r="215" spans="1:13" s="93" customFormat="1" ht="16.5" customHeight="1">
      <c r="B215" s="94" t="s">
        <v>1371</v>
      </c>
      <c r="C215" s="94" t="s">
        <v>1453</v>
      </c>
      <c r="D215" s="94" t="s">
        <v>1454</v>
      </c>
      <c r="E215" s="94" t="s">
        <v>1455</v>
      </c>
      <c r="F215" s="94" t="s">
        <v>1456</v>
      </c>
      <c r="G215" s="158" t="s">
        <v>1238</v>
      </c>
      <c r="H215" s="158"/>
      <c r="I215" s="158"/>
    </row>
    <row r="216" spans="1:13" s="93" customFormat="1" ht="16.5" customHeight="1">
      <c r="B216" s="148">
        <v>40669</v>
      </c>
      <c r="C216" s="93">
        <v>13</v>
      </c>
      <c r="D216" s="93">
        <v>30</v>
      </c>
      <c r="E216" s="93">
        <v>28</v>
      </c>
      <c r="F216" s="374">
        <f>TIME(C216,D216,E216)</f>
        <v>0.56282407407407409</v>
      </c>
      <c r="G216" s="108" t="s">
        <v>1457</v>
      </c>
    </row>
    <row r="217" spans="1:13" ht="16.5" customHeight="1">
      <c r="B217" s="148">
        <v>40702</v>
      </c>
      <c r="C217" s="93">
        <v>7</v>
      </c>
      <c r="D217" s="93">
        <v>1</v>
      </c>
      <c r="E217" s="93">
        <v>0</v>
      </c>
      <c r="F217" s="374">
        <f>TIME(C217,D217,)</f>
        <v>0.29236111111111113</v>
      </c>
      <c r="G217" s="108" t="s">
        <v>1458</v>
      </c>
    </row>
    <row r="218" spans="1:13" ht="16.5" customHeight="1">
      <c r="B218" s="148">
        <v>40849</v>
      </c>
      <c r="C218" s="93">
        <v>23</v>
      </c>
      <c r="D218" s="93">
        <v>-10</v>
      </c>
      <c r="E218" s="93">
        <v>7</v>
      </c>
      <c r="F218" s="374">
        <f>TIME(C218,D218,E218)</f>
        <v>0.95146990740740733</v>
      </c>
      <c r="G218" s="108" t="s">
        <v>1459</v>
      </c>
    </row>
    <row r="219" spans="1:13" ht="16.5" customHeight="1">
      <c r="B219" s="93"/>
      <c r="C219" s="93"/>
      <c r="D219" s="93"/>
      <c r="E219" s="93"/>
      <c r="F219" s="93"/>
      <c r="G219" s="93" t="s">
        <v>1460</v>
      </c>
    </row>
    <row r="220" spans="1:13">
      <c r="B220" s="93"/>
      <c r="C220" s="93"/>
      <c r="D220" s="93"/>
      <c r="E220" s="93"/>
      <c r="F220" s="93"/>
      <c r="G220" s="93"/>
    </row>
    <row r="221" spans="1:13">
      <c r="B221" s="93"/>
      <c r="C221" s="93"/>
      <c r="D221" s="93"/>
      <c r="E221" s="93"/>
      <c r="F221" s="93"/>
      <c r="G221" s="93"/>
    </row>
    <row r="222" spans="1:13">
      <c r="B222" s="93"/>
      <c r="C222" s="93"/>
      <c r="D222" s="93"/>
      <c r="E222" s="93"/>
      <c r="F222" s="93"/>
      <c r="G222" s="93"/>
    </row>
    <row r="223" spans="1:13">
      <c r="B223" s="93"/>
      <c r="C223" s="93"/>
      <c r="D223" s="93"/>
      <c r="E223" s="93"/>
      <c r="F223" s="93"/>
      <c r="G223" s="93"/>
    </row>
    <row r="224" spans="1:13">
      <c r="B224" s="93"/>
      <c r="C224" s="93"/>
      <c r="D224" s="93"/>
      <c r="E224" s="93"/>
      <c r="F224" s="93"/>
      <c r="G224" s="93"/>
    </row>
    <row r="225" spans="2:7">
      <c r="B225" s="93"/>
      <c r="C225" s="93"/>
      <c r="D225" s="93"/>
      <c r="E225" s="93"/>
      <c r="F225" s="93"/>
      <c r="G225" s="93"/>
    </row>
    <row r="300" spans="1:13" s="88" customFormat="1" ht="26.25" customHeight="1">
      <c r="A300" s="498" t="s">
        <v>65</v>
      </c>
      <c r="B300" s="498"/>
      <c r="C300" s="499"/>
      <c r="D300" s="87"/>
      <c r="E300" s="500" t="str">
        <f>HYPERLINK("#目录!A40","跳转回到目录页")</f>
        <v>跳转回到目录页</v>
      </c>
      <c r="F300" s="501"/>
    </row>
    <row r="301" spans="1:13" s="88" customFormat="1" ht="26.25" customHeight="1">
      <c r="A301" s="502" t="s">
        <v>1216</v>
      </c>
      <c r="B301" s="502"/>
      <c r="C301" s="503" t="s">
        <v>66</v>
      </c>
      <c r="D301" s="503"/>
      <c r="E301" s="503"/>
      <c r="F301" s="503"/>
      <c r="G301" s="503"/>
      <c r="H301" s="503"/>
      <c r="I301" s="503"/>
      <c r="J301" s="503"/>
      <c r="K301" s="503"/>
      <c r="L301" s="503"/>
      <c r="M301" s="503"/>
    </row>
    <row r="302" spans="1:13" s="88" customFormat="1" ht="16.5" customHeight="1">
      <c r="A302" s="496" t="s">
        <v>1217</v>
      </c>
      <c r="B302" s="496"/>
      <c r="C302" s="493" t="s">
        <v>1461</v>
      </c>
      <c r="D302" s="493"/>
      <c r="E302" s="493"/>
      <c r="F302" s="493"/>
      <c r="G302" s="493"/>
      <c r="H302" s="493"/>
      <c r="I302" s="493"/>
      <c r="J302" s="493"/>
      <c r="K302" s="493"/>
      <c r="L302" s="493"/>
      <c r="M302" s="493"/>
    </row>
    <row r="303" spans="1:13" s="88" customFormat="1" ht="16.5" customHeight="1">
      <c r="A303" s="496" t="s">
        <v>5786</v>
      </c>
      <c r="B303" s="496"/>
      <c r="C303" s="497" t="s">
        <v>1462</v>
      </c>
      <c r="D303" s="497"/>
      <c r="E303" s="497"/>
      <c r="F303" s="497"/>
      <c r="G303" s="497"/>
      <c r="H303" s="497"/>
      <c r="I303" s="497"/>
      <c r="J303" s="497"/>
      <c r="K303" s="497"/>
      <c r="L303" s="497"/>
      <c r="M303" s="497"/>
    </row>
    <row r="304" spans="1:13" s="88" customFormat="1" ht="16.5" customHeight="1">
      <c r="A304" s="496" t="s">
        <v>1220</v>
      </c>
      <c r="B304" s="496"/>
      <c r="C304" s="493" t="s">
        <v>1463</v>
      </c>
      <c r="D304" s="493"/>
      <c r="E304" s="493"/>
      <c r="F304" s="493"/>
      <c r="G304" s="493"/>
      <c r="H304" s="493"/>
      <c r="I304" s="493"/>
      <c r="J304" s="493"/>
      <c r="K304" s="493"/>
      <c r="L304" s="493"/>
      <c r="M304" s="493"/>
    </row>
    <row r="305" spans="1:13" s="88" customFormat="1" ht="16.5" customHeight="1">
      <c r="A305" s="496" t="s">
        <v>5785</v>
      </c>
      <c r="B305" s="496"/>
      <c r="C305" s="493" t="s">
        <v>1464</v>
      </c>
      <c r="D305" s="493"/>
      <c r="E305" s="493"/>
      <c r="F305" s="493"/>
      <c r="G305" s="493"/>
      <c r="H305" s="493"/>
      <c r="I305" s="493"/>
      <c r="J305" s="493"/>
      <c r="K305" s="493"/>
      <c r="L305" s="493"/>
      <c r="M305" s="493"/>
    </row>
    <row r="306" spans="1:13" s="88" customFormat="1" ht="16.5" customHeight="1">
      <c r="A306" s="89" t="s">
        <v>1223</v>
      </c>
      <c r="B306" s="92" t="s">
        <v>1465</v>
      </c>
      <c r="C306" s="493" t="s">
        <v>1466</v>
      </c>
      <c r="D306" s="493"/>
      <c r="E306" s="493"/>
      <c r="F306" s="493"/>
      <c r="G306" s="493"/>
      <c r="H306" s="493"/>
      <c r="I306" s="493"/>
      <c r="J306" s="493"/>
      <c r="K306" s="493"/>
      <c r="L306" s="493"/>
      <c r="M306" s="493"/>
    </row>
    <row r="307" spans="1:13" s="88" customFormat="1" ht="16.5" customHeight="1">
      <c r="A307" s="89" t="s">
        <v>1228</v>
      </c>
      <c r="B307" s="493" t="s">
        <v>1467</v>
      </c>
      <c r="C307" s="493"/>
      <c r="D307" s="493"/>
      <c r="E307" s="493"/>
      <c r="F307" s="493"/>
      <c r="G307" s="493"/>
      <c r="H307" s="493"/>
      <c r="I307" s="493"/>
      <c r="J307" s="493"/>
      <c r="K307" s="493"/>
      <c r="L307" s="493"/>
      <c r="M307" s="493"/>
    </row>
    <row r="308" spans="1:13" ht="16.5" customHeight="1">
      <c r="A308" s="89" t="s">
        <v>1229</v>
      </c>
      <c r="B308" s="493" t="s">
        <v>1452</v>
      </c>
      <c r="C308" s="493"/>
      <c r="D308" s="493"/>
      <c r="E308" s="493"/>
      <c r="F308" s="493"/>
      <c r="G308" s="493"/>
      <c r="H308" s="493"/>
      <c r="I308" s="493"/>
      <c r="J308" s="493"/>
      <c r="K308" s="493"/>
      <c r="L308" s="493"/>
      <c r="M308" s="493"/>
    </row>
    <row r="309" spans="1:13" ht="21" customHeight="1">
      <c r="B309" s="494" t="s">
        <v>1231</v>
      </c>
      <c r="C309" s="494"/>
      <c r="D309" s="494"/>
      <c r="E309" s="494"/>
      <c r="F309" s="494"/>
      <c r="G309" s="494"/>
      <c r="H309" s="494"/>
      <c r="I309" s="494"/>
      <c r="J309" s="494"/>
      <c r="K309" s="494"/>
      <c r="L309" s="495"/>
    </row>
    <row r="310" spans="1:13" s="93" customFormat="1" ht="16.5" customHeight="1"/>
    <row r="311" spans="1:13" s="93" customFormat="1" ht="16.5" customHeight="1">
      <c r="A311" s="94" t="s">
        <v>1232</v>
      </c>
      <c r="B311" s="497" t="s">
        <v>1468</v>
      </c>
      <c r="C311" s="497"/>
    </row>
    <row r="312" spans="1:13" s="93" customFormat="1" ht="16.5" customHeight="1"/>
    <row r="313" spans="1:13" s="93" customFormat="1" ht="16.5" customHeight="1">
      <c r="B313" s="95" t="s">
        <v>1469</v>
      </c>
      <c r="C313" s="96" t="s">
        <v>1470</v>
      </c>
      <c r="D313" s="369" t="s">
        <v>1471</v>
      </c>
      <c r="E313" s="304" t="s">
        <v>1472</v>
      </c>
      <c r="F313" s="158" t="s">
        <v>1238</v>
      </c>
      <c r="G313" s="158"/>
      <c r="H313" s="158"/>
      <c r="I313" s="158"/>
    </row>
    <row r="314" spans="1:13" s="93" customFormat="1" ht="16.5" customHeight="1">
      <c r="B314" s="141">
        <v>40849</v>
      </c>
      <c r="C314" s="375" t="s">
        <v>1473</v>
      </c>
      <c r="D314" s="376">
        <f t="shared" ref="D314:D319" si="0">(TIMEVALUE(C314)-TIMEVALUE($B$322))*24*60</f>
        <v>29.999999999999972</v>
      </c>
      <c r="E314" s="101">
        <f t="shared" ref="E314:E319" si="1">IF((TIMEVALUE(C314)-TIMEVALUE($B$322))*24*60&lt;=0,"",(TIMEVALUE(C314)-TIMEVALUE($B$322))*24*60)</f>
        <v>29.999999999999972</v>
      </c>
      <c r="F314" s="108" t="s">
        <v>1474</v>
      </c>
      <c r="G314" s="158"/>
    </row>
    <row r="315" spans="1:13" ht="16.5" customHeight="1">
      <c r="A315" s="93"/>
      <c r="B315" s="141">
        <v>40850</v>
      </c>
      <c r="C315" s="377" t="s">
        <v>1475</v>
      </c>
      <c r="D315" s="376">
        <f t="shared" si="0"/>
        <v>5.0000000000000622</v>
      </c>
      <c r="E315" s="101">
        <f t="shared" si="1"/>
        <v>5.0000000000000622</v>
      </c>
      <c r="F315" s="374"/>
      <c r="G315" s="158"/>
    </row>
    <row r="316" spans="1:13" ht="16.5" customHeight="1">
      <c r="A316" s="93"/>
      <c r="B316" s="141">
        <v>40851</v>
      </c>
      <c r="C316" s="375" t="s">
        <v>1476</v>
      </c>
      <c r="D316" s="376">
        <f t="shared" si="0"/>
        <v>-1.9999999999999929</v>
      </c>
      <c r="E316" s="101" t="str">
        <f t="shared" si="1"/>
        <v/>
      </c>
      <c r="F316" s="374"/>
      <c r="G316" s="158"/>
    </row>
    <row r="317" spans="1:13" ht="16.5" customHeight="1">
      <c r="A317" s="93"/>
      <c r="B317" s="141">
        <v>40852</v>
      </c>
      <c r="C317" s="377" t="s">
        <v>1477</v>
      </c>
      <c r="D317" s="376">
        <f t="shared" si="0"/>
        <v>-3.9999999999999858</v>
      </c>
      <c r="E317" s="101" t="str">
        <f t="shared" si="1"/>
        <v/>
      </c>
      <c r="F317" s="93"/>
      <c r="G317" s="93"/>
    </row>
    <row r="318" spans="1:13" ht="16.5" customHeight="1">
      <c r="A318" s="93"/>
      <c r="B318" s="141">
        <v>40853</v>
      </c>
      <c r="C318" s="377" t="s">
        <v>1478</v>
      </c>
      <c r="D318" s="376">
        <f t="shared" si="0"/>
        <v>16.000000000000021</v>
      </c>
      <c r="E318" s="101">
        <f t="shared" si="1"/>
        <v>16.000000000000021</v>
      </c>
      <c r="F318" s="93"/>
      <c r="G318" s="93"/>
    </row>
    <row r="319" spans="1:13" ht="16.5" customHeight="1">
      <c r="A319" s="93"/>
      <c r="B319" s="363">
        <v>40854</v>
      </c>
      <c r="C319" s="372" t="s">
        <v>1479</v>
      </c>
      <c r="D319" s="378">
        <f t="shared" si="0"/>
        <v>-5.0000000000000622</v>
      </c>
      <c r="E319" s="107" t="str">
        <f t="shared" si="1"/>
        <v/>
      </c>
      <c r="F319" s="93"/>
      <c r="G319" s="93"/>
    </row>
    <row r="320" spans="1:13" ht="16.5" customHeight="1">
      <c r="A320" s="93"/>
      <c r="B320" s="93"/>
      <c r="C320" s="93"/>
      <c r="D320" s="93"/>
      <c r="E320" s="93"/>
      <c r="F320" s="93"/>
      <c r="G320" s="93"/>
    </row>
    <row r="321" spans="1:13" ht="16.5" customHeight="1">
      <c r="A321" s="93"/>
      <c r="B321" s="379" t="s">
        <v>1480</v>
      </c>
      <c r="C321" s="93"/>
      <c r="D321" s="93"/>
      <c r="E321" s="93"/>
      <c r="F321" s="93"/>
      <c r="G321" s="93"/>
    </row>
    <row r="322" spans="1:13" ht="16.5" customHeight="1">
      <c r="A322" s="93"/>
      <c r="B322" s="380" t="s">
        <v>1481</v>
      </c>
      <c r="C322" s="93"/>
      <c r="D322" s="93"/>
      <c r="E322" s="93"/>
      <c r="F322" s="93"/>
      <c r="G322" s="93"/>
    </row>
    <row r="323" spans="1:13" ht="16.5" customHeight="1">
      <c r="A323" s="93"/>
      <c r="B323" s="93"/>
      <c r="C323" s="93"/>
      <c r="D323" s="93"/>
      <c r="E323" s="93"/>
      <c r="F323" s="93"/>
      <c r="G323" s="93"/>
    </row>
    <row r="324" spans="1:13" ht="16.5" customHeight="1">
      <c r="A324" s="93"/>
      <c r="D324" s="93"/>
      <c r="E324" s="93"/>
      <c r="F324" s="93"/>
      <c r="G324" s="93"/>
    </row>
    <row r="325" spans="1:13" ht="16.5" customHeight="1">
      <c r="A325" s="93"/>
      <c r="B325" s="93" t="s">
        <v>1261</v>
      </c>
      <c r="D325" s="93"/>
      <c r="E325" s="93"/>
      <c r="F325" s="93"/>
      <c r="G325" s="93"/>
    </row>
    <row r="326" spans="1:13" ht="16.5" customHeight="1">
      <c r="A326" s="93"/>
      <c r="B326" s="94" t="s">
        <v>245</v>
      </c>
      <c r="C326" s="93" t="s">
        <v>1482</v>
      </c>
      <c r="D326" s="93"/>
      <c r="E326" s="93"/>
      <c r="F326" s="93"/>
      <c r="G326" s="93"/>
    </row>
    <row r="327" spans="1:13" ht="16.5" customHeight="1"/>
    <row r="328" spans="1:13" ht="16.5" customHeight="1">
      <c r="B328" s="519" t="s">
        <v>1483</v>
      </c>
      <c r="C328" s="519"/>
    </row>
    <row r="329" spans="1:13" ht="16.5" customHeight="1">
      <c r="B329" s="108" t="s">
        <v>1474</v>
      </c>
      <c r="C329" s="93"/>
    </row>
    <row r="330" spans="1:13" ht="24.75" customHeight="1">
      <c r="B330" s="493" t="s">
        <v>1484</v>
      </c>
      <c r="C330" s="493"/>
      <c r="D330" s="493"/>
      <c r="E330" s="493"/>
      <c r="F330" s="493"/>
      <c r="G330" s="493"/>
      <c r="H330" s="493"/>
      <c r="I330" s="493"/>
      <c r="J330" s="493"/>
      <c r="K330" s="493"/>
      <c r="L330" s="493"/>
      <c r="M330" s="493"/>
    </row>
    <row r="331" spans="1:13" ht="16.5" customHeight="1">
      <c r="B331" s="93" t="s">
        <v>1485</v>
      </c>
      <c r="C331" s="93"/>
      <c r="D331" s="93"/>
      <c r="E331" s="93"/>
      <c r="F331" s="93"/>
      <c r="G331" s="93"/>
      <c r="H331" s="93"/>
      <c r="I331" s="93"/>
      <c r="J331" s="93"/>
      <c r="K331" s="93"/>
      <c r="L331" s="93"/>
      <c r="M331" s="93"/>
    </row>
    <row r="332" spans="1:13" ht="16.5" customHeight="1">
      <c r="B332" s="143" t="s">
        <v>5965</v>
      </c>
      <c r="C332" s="93"/>
      <c r="D332" s="93"/>
      <c r="E332" s="93"/>
      <c r="F332" s="93"/>
      <c r="G332" s="93"/>
      <c r="H332" s="93"/>
      <c r="I332" s="93"/>
      <c r="J332" s="93"/>
      <c r="K332" s="93"/>
      <c r="L332" s="93"/>
      <c r="M332" s="93"/>
    </row>
  </sheetData>
  <mergeCells count="75">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B19:D19"/>
    <mergeCell ref="H19:J19"/>
    <mergeCell ref="A100:C100"/>
    <mergeCell ref="E100:F100"/>
    <mergeCell ref="A101:B101"/>
    <mergeCell ref="C101:M101"/>
    <mergeCell ref="B109:L109"/>
    <mergeCell ref="A102:B102"/>
    <mergeCell ref="C102:M102"/>
    <mergeCell ref="A103:B103"/>
    <mergeCell ref="C103:M103"/>
    <mergeCell ref="A104:B104"/>
    <mergeCell ref="C104:M104"/>
    <mergeCell ref="A105:B105"/>
    <mergeCell ref="C105:M105"/>
    <mergeCell ref="C106:M106"/>
    <mergeCell ref="B107:M107"/>
    <mergeCell ref="B108:M108"/>
    <mergeCell ref="F127:I127"/>
    <mergeCell ref="B133:M133"/>
    <mergeCell ref="A200:C200"/>
    <mergeCell ref="E200:F200"/>
    <mergeCell ref="A201:B201"/>
    <mergeCell ref="C201:M201"/>
    <mergeCell ref="B209:M209"/>
    <mergeCell ref="A202:B202"/>
    <mergeCell ref="C202:M202"/>
    <mergeCell ref="A203:B203"/>
    <mergeCell ref="C203:M203"/>
    <mergeCell ref="A204:B204"/>
    <mergeCell ref="C204:M204"/>
    <mergeCell ref="A205:B205"/>
    <mergeCell ref="C205:M205"/>
    <mergeCell ref="C206:M206"/>
    <mergeCell ref="C207:M207"/>
    <mergeCell ref="C208:M208"/>
    <mergeCell ref="B210:M210"/>
    <mergeCell ref="B211:L211"/>
    <mergeCell ref="A300:C300"/>
    <mergeCell ref="E300:F300"/>
    <mergeCell ref="A301:B301"/>
    <mergeCell ref="C301:M301"/>
    <mergeCell ref="A302:B302"/>
    <mergeCell ref="C302:M302"/>
    <mergeCell ref="A303:B303"/>
    <mergeCell ref="C303:M303"/>
    <mergeCell ref="A304:B304"/>
    <mergeCell ref="C304:M304"/>
    <mergeCell ref="B311:C311"/>
    <mergeCell ref="B328:C328"/>
    <mergeCell ref="B330:M330"/>
    <mergeCell ref="A305:B305"/>
    <mergeCell ref="C305:M305"/>
    <mergeCell ref="C306:M306"/>
    <mergeCell ref="B307:M307"/>
    <mergeCell ref="B308:M308"/>
    <mergeCell ref="B309:L309"/>
  </mergeCells>
  <phoneticPr fontId="2" type="noConversion"/>
  <pageMargins left="0.75" right="0.75" top="1" bottom="1" header="0.5" footer="0.5"/>
  <pageSetup paperSize="9" orientation="portrait" horizontalDpi="1200" verticalDpi="1200"/>
  <headerFooter scaleWithDoc="0"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AV11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353</v>
      </c>
      <c r="B1" s="498"/>
      <c r="C1" s="499"/>
      <c r="D1" s="87"/>
      <c r="E1" s="500" t="str">
        <f>HYPERLINK("#目录!A207","跳转回到目录页")</f>
        <v>跳转回到目录页</v>
      </c>
      <c r="F1" s="501"/>
    </row>
    <row r="2" spans="1:48" s="88" customFormat="1" ht="26.25" customHeight="1">
      <c r="A2" s="502" t="s">
        <v>1216</v>
      </c>
      <c r="B2" s="502"/>
      <c r="C2" s="503" t="s">
        <v>354</v>
      </c>
      <c r="D2" s="503"/>
      <c r="E2" s="503"/>
      <c r="F2" s="503"/>
      <c r="G2" s="503"/>
      <c r="H2" s="503"/>
      <c r="I2" s="503"/>
      <c r="J2" s="503"/>
      <c r="K2" s="503"/>
      <c r="L2" s="503"/>
      <c r="M2" s="503"/>
    </row>
    <row r="3" spans="1:48" s="88" customFormat="1" ht="16.5" customHeight="1">
      <c r="A3" s="496" t="s">
        <v>1217</v>
      </c>
      <c r="B3" s="496"/>
      <c r="C3" s="493" t="s">
        <v>3259</v>
      </c>
      <c r="D3" s="493"/>
      <c r="E3" s="493"/>
      <c r="F3" s="493"/>
      <c r="G3" s="493"/>
      <c r="H3" s="493"/>
      <c r="I3" s="493"/>
      <c r="J3" s="493"/>
      <c r="K3" s="493"/>
      <c r="L3" s="493"/>
      <c r="M3" s="493"/>
    </row>
    <row r="4" spans="1:48" s="88" customFormat="1" ht="16.5" customHeight="1">
      <c r="A4" s="496" t="s">
        <v>5786</v>
      </c>
      <c r="B4" s="496"/>
      <c r="C4" s="497" t="s">
        <v>5897</v>
      </c>
      <c r="D4" s="497"/>
      <c r="E4" s="497"/>
      <c r="F4" s="497"/>
      <c r="G4" s="497"/>
      <c r="H4" s="497"/>
      <c r="I4" s="497"/>
      <c r="J4" s="497"/>
      <c r="K4" s="497"/>
      <c r="L4" s="497"/>
      <c r="M4" s="497"/>
    </row>
    <row r="5" spans="1:48" s="88" customFormat="1" ht="16.5" customHeight="1">
      <c r="A5" s="496" t="s">
        <v>1220</v>
      </c>
      <c r="B5" s="496"/>
      <c r="C5" s="493" t="s">
        <v>3260</v>
      </c>
      <c r="D5" s="493"/>
      <c r="E5" s="493"/>
      <c r="F5" s="493"/>
      <c r="G5" s="493"/>
      <c r="H5" s="493"/>
      <c r="I5" s="493"/>
      <c r="J5" s="493"/>
      <c r="K5" s="493"/>
      <c r="L5" s="493"/>
      <c r="M5" s="493"/>
    </row>
    <row r="6" spans="1:48" s="88" customFormat="1" ht="16.5" customHeight="1">
      <c r="A6" s="496" t="s">
        <v>5785</v>
      </c>
      <c r="B6" s="496"/>
      <c r="C6" s="493" t="s">
        <v>3261</v>
      </c>
      <c r="D6" s="493"/>
      <c r="E6" s="493"/>
      <c r="F6" s="493"/>
      <c r="G6" s="493"/>
      <c r="H6" s="493"/>
      <c r="I6" s="493"/>
      <c r="J6" s="493"/>
      <c r="K6" s="493"/>
      <c r="L6" s="493"/>
      <c r="M6" s="493"/>
    </row>
    <row r="7" spans="1:48" s="88" customFormat="1" ht="16.5" customHeight="1">
      <c r="A7" s="89" t="s">
        <v>1223</v>
      </c>
      <c r="B7" s="92" t="s">
        <v>3034</v>
      </c>
      <c r="C7" s="493" t="s">
        <v>3262</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3263</v>
      </c>
      <c r="C10" s="493"/>
      <c r="D10" s="493"/>
      <c r="E10" s="493"/>
      <c r="F10" s="493"/>
      <c r="G10" s="493"/>
      <c r="H10" s="493"/>
      <c r="I10" s="493"/>
      <c r="J10" s="493"/>
      <c r="K10" s="493"/>
      <c r="L10" s="493"/>
      <c r="M10" s="493"/>
    </row>
    <row r="11" spans="1:48" ht="16.5" customHeight="1">
      <c r="A11" s="89" t="s">
        <v>1229</v>
      </c>
      <c r="B11" s="493"/>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F16" s="104" t="s">
        <v>1238</v>
      </c>
      <c r="G16" s="93" t="s">
        <v>27</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3264</v>
      </c>
      <c r="C17" s="518"/>
      <c r="D17" s="518" t="str">
        <f>TRIM(B17)</f>
        <v>每男 每女家居生活馆</v>
      </c>
      <c r="E17" s="518"/>
      <c r="F17" s="108" t="s">
        <v>3265</v>
      </c>
      <c r="G17" s="93" t="s">
        <v>3266</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518" t="s">
        <v>3267</v>
      </c>
      <c r="C18" s="518"/>
      <c r="D18" s="518" t="str">
        <f>TRIM(B18)</f>
        <v>每 男 每 女</v>
      </c>
      <c r="E18" s="518"/>
      <c r="F18" s="108" t="s">
        <v>3268</v>
      </c>
      <c r="G18" s="93" t="s">
        <v>3269</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518" t="s">
        <v>3270</v>
      </c>
      <c r="C19" s="518"/>
      <c r="D19" s="518" t="str">
        <f>TRIM(B19)</f>
        <v>钱 慧敏</v>
      </c>
      <c r="E19" s="518"/>
      <c r="F19" s="108" t="s">
        <v>3271</v>
      </c>
      <c r="G19" s="93" t="s">
        <v>3272</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24.75" customHeight="1">
      <c r="B20" s="518"/>
      <c r="C20" s="518"/>
      <c r="G20" s="509" t="s">
        <v>3273</v>
      </c>
      <c r="H20" s="509"/>
      <c r="I20" s="509"/>
      <c r="J20" s="509"/>
      <c r="K20" s="509"/>
      <c r="L20" s="509"/>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G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G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355</v>
      </c>
      <c r="B100" s="498"/>
      <c r="C100" s="499"/>
      <c r="D100" s="87"/>
      <c r="E100" s="500" t="str">
        <f>HYPERLINK("#目录!A208","跳转回到目录页")</f>
        <v>跳转回到目录页</v>
      </c>
      <c r="F100" s="501"/>
    </row>
    <row r="101" spans="1:13" s="88" customFormat="1" ht="26.25" customHeight="1">
      <c r="A101" s="502" t="s">
        <v>1216</v>
      </c>
      <c r="B101" s="502"/>
      <c r="C101" s="503" t="s">
        <v>356</v>
      </c>
      <c r="D101" s="503"/>
      <c r="E101" s="503"/>
      <c r="F101" s="503"/>
      <c r="G101" s="503"/>
      <c r="H101" s="503"/>
      <c r="I101" s="503"/>
      <c r="J101" s="503"/>
      <c r="K101" s="503"/>
      <c r="L101" s="503"/>
      <c r="M101" s="503"/>
    </row>
    <row r="102" spans="1:13" s="88" customFormat="1" ht="16.5" customHeight="1">
      <c r="A102" s="496" t="s">
        <v>1217</v>
      </c>
      <c r="B102" s="496"/>
      <c r="C102" s="493" t="s">
        <v>3274</v>
      </c>
      <c r="D102" s="493"/>
      <c r="E102" s="493"/>
      <c r="F102" s="493"/>
      <c r="G102" s="493"/>
      <c r="H102" s="493"/>
      <c r="I102" s="493"/>
      <c r="J102" s="493"/>
      <c r="K102" s="493"/>
      <c r="L102" s="493"/>
      <c r="M102" s="493"/>
    </row>
    <row r="103" spans="1:13" s="88" customFormat="1" ht="16.5" customHeight="1">
      <c r="A103" s="496" t="s">
        <v>5786</v>
      </c>
      <c r="B103" s="496"/>
      <c r="C103" s="497" t="s">
        <v>774</v>
      </c>
      <c r="D103" s="497"/>
      <c r="E103" s="497"/>
      <c r="F103" s="497"/>
      <c r="G103" s="497"/>
      <c r="H103" s="497"/>
      <c r="I103" s="497"/>
      <c r="J103" s="497"/>
      <c r="K103" s="497"/>
      <c r="L103" s="497"/>
      <c r="M103" s="497"/>
    </row>
    <row r="104" spans="1:13" s="88" customFormat="1" ht="16.5" customHeight="1">
      <c r="A104" s="496" t="s">
        <v>1220</v>
      </c>
      <c r="B104" s="496"/>
      <c r="C104" s="493" t="s">
        <v>3275</v>
      </c>
      <c r="D104" s="493"/>
      <c r="E104" s="493"/>
      <c r="F104" s="493"/>
      <c r="G104" s="493"/>
      <c r="H104" s="493"/>
      <c r="I104" s="493"/>
      <c r="J104" s="493"/>
      <c r="K104" s="493"/>
      <c r="L104" s="493"/>
      <c r="M104" s="493"/>
    </row>
    <row r="105" spans="1:13" s="88" customFormat="1" ht="16.5" customHeight="1">
      <c r="A105" s="496" t="s">
        <v>5785</v>
      </c>
      <c r="B105" s="496"/>
      <c r="C105" s="493" t="s">
        <v>3276</v>
      </c>
      <c r="D105" s="493"/>
      <c r="E105" s="493"/>
      <c r="F105" s="493"/>
      <c r="G105" s="493"/>
      <c r="H105" s="493"/>
      <c r="I105" s="493"/>
      <c r="J105" s="493"/>
      <c r="K105" s="493"/>
      <c r="L105" s="493"/>
      <c r="M105" s="493"/>
    </row>
    <row r="106" spans="1:13" s="88" customFormat="1" ht="16.5" customHeight="1">
      <c r="A106" s="89" t="s">
        <v>1223</v>
      </c>
      <c r="B106" s="92" t="s">
        <v>3166</v>
      </c>
      <c r="C106" s="493" t="s">
        <v>3277</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493"/>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c r="B115" s="93" t="s">
        <v>3278</v>
      </c>
    </row>
    <row r="116" spans="1:48" ht="16.5" customHeight="1"/>
    <row r="117" spans="1:48">
      <c r="F117" s="18"/>
    </row>
    <row r="119" spans="1:48">
      <c r="F119" s="18"/>
    </row>
  </sheetData>
  <mergeCells count="44">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B17:C17"/>
    <mergeCell ref="D17:E17"/>
    <mergeCell ref="B18:C18"/>
    <mergeCell ref="D18:E18"/>
    <mergeCell ref="B19:C19"/>
    <mergeCell ref="D19:E19"/>
    <mergeCell ref="B20:C20"/>
    <mergeCell ref="G20:L20"/>
    <mergeCell ref="A100:C100"/>
    <mergeCell ref="E100:F100"/>
    <mergeCell ref="A101:B101"/>
    <mergeCell ref="C101:M101"/>
    <mergeCell ref="A102:B102"/>
    <mergeCell ref="C102:M102"/>
    <mergeCell ref="A103:B103"/>
    <mergeCell ref="C103:M103"/>
    <mergeCell ref="A104:B104"/>
    <mergeCell ref="C104:M104"/>
    <mergeCell ref="B110:M110"/>
    <mergeCell ref="B111:L111"/>
    <mergeCell ref="A105:B105"/>
    <mergeCell ref="C105:M105"/>
    <mergeCell ref="C106:M106"/>
    <mergeCell ref="C107:M107"/>
    <mergeCell ref="C108:M108"/>
    <mergeCell ref="B109:M109"/>
  </mergeCells>
  <phoneticPr fontId="2" type="noConversion"/>
  <pageMargins left="0.75" right="0.75" top="1" bottom="1" header="0.5" footer="0.5"/>
  <headerFooter scaleWithDoc="0"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V122"/>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358</v>
      </c>
      <c r="B1" s="498"/>
      <c r="C1" s="499"/>
      <c r="D1" s="87"/>
      <c r="E1" s="500" t="str">
        <f>HYPERLINK("#目录!A210","跳转回到目录页")</f>
        <v>跳转回到目录页</v>
      </c>
      <c r="F1" s="501"/>
    </row>
    <row r="2" spans="1:48" s="88" customFormat="1" ht="26.25" customHeight="1">
      <c r="A2" s="502" t="s">
        <v>1216</v>
      </c>
      <c r="B2" s="502"/>
      <c r="C2" s="503" t="s">
        <v>359</v>
      </c>
      <c r="D2" s="503"/>
      <c r="E2" s="503"/>
      <c r="F2" s="503"/>
      <c r="G2" s="503"/>
      <c r="H2" s="503"/>
      <c r="I2" s="503"/>
      <c r="J2" s="503"/>
      <c r="K2" s="503"/>
      <c r="L2" s="503"/>
      <c r="M2" s="503"/>
    </row>
    <row r="3" spans="1:48" s="88" customFormat="1" ht="16.5" customHeight="1">
      <c r="A3" s="496" t="s">
        <v>1217</v>
      </c>
      <c r="B3" s="496"/>
      <c r="C3" s="493" t="s">
        <v>3279</v>
      </c>
      <c r="D3" s="493"/>
      <c r="E3" s="493"/>
      <c r="F3" s="493"/>
      <c r="G3" s="493"/>
      <c r="H3" s="493"/>
      <c r="I3" s="493"/>
      <c r="J3" s="493"/>
      <c r="K3" s="493"/>
      <c r="L3" s="493"/>
      <c r="M3" s="493"/>
    </row>
    <row r="4" spans="1:48" s="88" customFormat="1" ht="16.5" customHeight="1">
      <c r="A4" s="496" t="s">
        <v>5786</v>
      </c>
      <c r="B4" s="496"/>
      <c r="C4" s="493" t="s">
        <v>3280</v>
      </c>
      <c r="D4" s="493"/>
      <c r="E4" s="493"/>
      <c r="F4" s="493"/>
      <c r="G4" s="493"/>
      <c r="H4" s="493"/>
      <c r="I4" s="493"/>
      <c r="J4" s="493"/>
      <c r="K4" s="493"/>
      <c r="L4" s="493"/>
      <c r="M4" s="493"/>
    </row>
    <row r="5" spans="1:48" s="88" customFormat="1" ht="16.5" customHeight="1">
      <c r="A5" s="496" t="s">
        <v>1220</v>
      </c>
      <c r="B5" s="496"/>
      <c r="C5" s="493" t="s">
        <v>3281</v>
      </c>
      <c r="D5" s="493"/>
      <c r="E5" s="493"/>
      <c r="F5" s="493"/>
      <c r="G5" s="493"/>
      <c r="H5" s="493"/>
      <c r="I5" s="493"/>
      <c r="J5" s="493"/>
      <c r="K5" s="493"/>
      <c r="L5" s="493"/>
      <c r="M5" s="493"/>
    </row>
    <row r="6" spans="1:48" s="88" customFormat="1" ht="16.5" customHeight="1">
      <c r="A6" s="496" t="s">
        <v>5785</v>
      </c>
      <c r="B6" s="496"/>
      <c r="C6" s="493" t="s">
        <v>3282</v>
      </c>
      <c r="D6" s="493"/>
      <c r="E6" s="493"/>
      <c r="F6" s="493"/>
      <c r="G6" s="493"/>
      <c r="H6" s="493"/>
      <c r="I6" s="493"/>
      <c r="J6" s="493"/>
      <c r="K6" s="493"/>
      <c r="L6" s="493"/>
      <c r="M6" s="493"/>
    </row>
    <row r="7" spans="1:48" s="88" customFormat="1" ht="16.5" customHeight="1">
      <c r="A7" s="89" t="s">
        <v>1223</v>
      </c>
      <c r="B7" s="92" t="s">
        <v>3034</v>
      </c>
      <c r="C7" s="493" t="s">
        <v>3283</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493" t="s">
        <v>3284</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565" t="s">
        <v>3088</v>
      </c>
      <c r="C16" s="565"/>
      <c r="D16" s="94" t="s">
        <v>1431</v>
      </c>
      <c r="E16" s="104" t="s">
        <v>1238</v>
      </c>
      <c r="G16" s="4"/>
      <c r="H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482" t="s">
        <v>3285</v>
      </c>
      <c r="C17" s="504"/>
      <c r="D17" s="138">
        <f>CODE(B17)</f>
        <v>41392</v>
      </c>
      <c r="E17" s="108" t="s">
        <v>3286</v>
      </c>
      <c r="F17" s="93" t="s">
        <v>3287</v>
      </c>
      <c r="G17" s="4"/>
      <c r="H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484" t="s">
        <v>3288</v>
      </c>
      <c r="C18" s="489"/>
      <c r="D18" s="107">
        <f>CODE(B18)</f>
        <v>34</v>
      </c>
      <c r="E18" s="108" t="s">
        <v>3289</v>
      </c>
      <c r="F18" s="93" t="s">
        <v>3290</v>
      </c>
      <c r="G18" s="232"/>
      <c r="H18" s="232"/>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G19" s="233"/>
      <c r="H19" s="233"/>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G20" s="233"/>
      <c r="H20" s="233"/>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G21" s="4"/>
      <c r="H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G22" s="18"/>
      <c r="H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G23" s="4"/>
      <c r="H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G24" s="18"/>
      <c r="H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G25" s="4"/>
      <c r="H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G26" s="4"/>
      <c r="H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360</v>
      </c>
      <c r="B100" s="498"/>
      <c r="C100" s="499"/>
      <c r="D100" s="87"/>
      <c r="E100" s="500" t="str">
        <f>HYPERLINK("#目录!A211","跳转回到目录页")</f>
        <v>跳转回到目录页</v>
      </c>
      <c r="F100" s="501"/>
    </row>
    <row r="101" spans="1:13" s="88" customFormat="1" ht="26.25" customHeight="1">
      <c r="A101" s="502" t="s">
        <v>1216</v>
      </c>
      <c r="B101" s="502"/>
      <c r="C101" s="503" t="s">
        <v>361</v>
      </c>
      <c r="D101" s="503"/>
      <c r="E101" s="503"/>
      <c r="F101" s="503"/>
      <c r="G101" s="503"/>
      <c r="H101" s="503"/>
      <c r="I101" s="503"/>
      <c r="J101" s="503"/>
      <c r="K101" s="503"/>
      <c r="L101" s="503"/>
      <c r="M101" s="503"/>
    </row>
    <row r="102" spans="1:13" s="88" customFormat="1" ht="16.5" customHeight="1">
      <c r="A102" s="496" t="s">
        <v>1217</v>
      </c>
      <c r="B102" s="496"/>
      <c r="C102" s="493" t="s">
        <v>3291</v>
      </c>
      <c r="D102" s="493"/>
      <c r="E102" s="493"/>
      <c r="F102" s="493"/>
      <c r="G102" s="493"/>
      <c r="H102" s="493"/>
      <c r="I102" s="493"/>
      <c r="J102" s="493"/>
      <c r="K102" s="493"/>
      <c r="L102" s="493"/>
      <c r="M102" s="493"/>
    </row>
    <row r="103" spans="1:13" s="88" customFormat="1" ht="16.5" customHeight="1">
      <c r="A103" s="496" t="s">
        <v>5786</v>
      </c>
      <c r="B103" s="496"/>
      <c r="C103" s="497" t="s">
        <v>361</v>
      </c>
      <c r="D103" s="497"/>
      <c r="E103" s="497"/>
      <c r="F103" s="497"/>
      <c r="G103" s="497"/>
      <c r="H103" s="497"/>
      <c r="I103" s="497"/>
      <c r="J103" s="497"/>
      <c r="K103" s="497"/>
      <c r="L103" s="497"/>
      <c r="M103" s="497"/>
    </row>
    <row r="104" spans="1:13" s="88" customFormat="1" ht="16.5" customHeight="1">
      <c r="A104" s="496" t="s">
        <v>1220</v>
      </c>
      <c r="B104" s="496"/>
      <c r="C104" s="493" t="s">
        <v>3292</v>
      </c>
      <c r="D104" s="493"/>
      <c r="E104" s="493"/>
      <c r="F104" s="493"/>
      <c r="G104" s="493"/>
      <c r="H104" s="493"/>
      <c r="I104" s="493"/>
      <c r="J104" s="493"/>
      <c r="K104" s="493"/>
      <c r="L104" s="493"/>
      <c r="M104" s="493"/>
    </row>
    <row r="105" spans="1:13" s="88" customFormat="1" ht="16.5" customHeight="1">
      <c r="A105" s="496" t="s">
        <v>5785</v>
      </c>
      <c r="B105" s="496"/>
      <c r="C105" s="493" t="s">
        <v>3293</v>
      </c>
      <c r="D105" s="493"/>
      <c r="E105" s="493"/>
      <c r="F105" s="493"/>
      <c r="G105" s="493"/>
      <c r="H105" s="493"/>
      <c r="I105" s="493"/>
      <c r="J105" s="493"/>
      <c r="K105" s="493"/>
      <c r="L105" s="493"/>
      <c r="M105" s="493"/>
    </row>
    <row r="106" spans="1:13" s="88" customFormat="1" ht="16.5" customHeight="1">
      <c r="A106" s="89" t="s">
        <v>1223</v>
      </c>
      <c r="B106" s="92" t="s">
        <v>2200</v>
      </c>
      <c r="C106" s="493" t="s">
        <v>3294</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493" t="s">
        <v>3284</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row>
    <row r="115" spans="1:7">
      <c r="B115" s="94" t="s">
        <v>1105</v>
      </c>
    </row>
    <row r="116" spans="1:7">
      <c r="F116" s="232"/>
      <c r="G116" s="232"/>
    </row>
    <row r="117" spans="1:7">
      <c r="F117" s="233"/>
      <c r="G117" s="233"/>
    </row>
    <row r="118" spans="1:7">
      <c r="F118" s="233"/>
      <c r="G118" s="233"/>
    </row>
    <row r="120" spans="1:7">
      <c r="F120" s="18"/>
    </row>
    <row r="122" spans="1:7">
      <c r="F122" s="18"/>
    </row>
  </sheetData>
  <mergeCells count="39">
    <mergeCell ref="A1:C1"/>
    <mergeCell ref="E1:F1"/>
    <mergeCell ref="A2:B2"/>
    <mergeCell ref="C2:M2"/>
    <mergeCell ref="A3:B3"/>
    <mergeCell ref="C3:M3"/>
    <mergeCell ref="A4:B4"/>
    <mergeCell ref="C4:M4"/>
    <mergeCell ref="A5:B5"/>
    <mergeCell ref="C5:M5"/>
    <mergeCell ref="A6:B6"/>
    <mergeCell ref="C6:M6"/>
    <mergeCell ref="A101:B101"/>
    <mergeCell ref="C101:M101"/>
    <mergeCell ref="C7:M7"/>
    <mergeCell ref="C8:M8"/>
    <mergeCell ref="C9:M9"/>
    <mergeCell ref="B10:M10"/>
    <mergeCell ref="B11:M11"/>
    <mergeCell ref="B12:L12"/>
    <mergeCell ref="B16:C16"/>
    <mergeCell ref="B17:C17"/>
    <mergeCell ref="B18:C18"/>
    <mergeCell ref="A100:C100"/>
    <mergeCell ref="E100:F100"/>
    <mergeCell ref="A102:B102"/>
    <mergeCell ref="C102:M102"/>
    <mergeCell ref="A103:B103"/>
    <mergeCell ref="C103:M103"/>
    <mergeCell ref="A104:B104"/>
    <mergeCell ref="C104:M104"/>
    <mergeCell ref="B110:M110"/>
    <mergeCell ref="B111:L111"/>
    <mergeCell ref="A105:B105"/>
    <mergeCell ref="C105:M105"/>
    <mergeCell ref="C106:M106"/>
    <mergeCell ref="C107:M107"/>
    <mergeCell ref="C108:M108"/>
    <mergeCell ref="B109:M109"/>
  </mergeCells>
  <phoneticPr fontId="2" type="noConversion"/>
  <pageMargins left="0.75" right="0.75" top="1" bottom="1" header="0.5" footer="0.5"/>
  <headerFooter scaleWithDoc="0"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AV6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371</v>
      </c>
      <c r="B1" s="498"/>
      <c r="C1" s="499"/>
      <c r="D1" s="87"/>
      <c r="E1" s="500" t="str">
        <f>HYPERLINK("#目录!A217","跳转回到目录页")</f>
        <v>跳转回到目录页</v>
      </c>
      <c r="F1" s="501"/>
    </row>
    <row r="2" spans="1:48" s="88" customFormat="1" ht="26.25" customHeight="1">
      <c r="A2" s="502" t="s">
        <v>1216</v>
      </c>
      <c r="B2" s="502"/>
      <c r="C2" s="503" t="s">
        <v>372</v>
      </c>
      <c r="D2" s="503"/>
      <c r="E2" s="503"/>
      <c r="F2" s="503"/>
      <c r="G2" s="503"/>
      <c r="H2" s="503"/>
      <c r="I2" s="503"/>
      <c r="J2" s="503"/>
      <c r="K2" s="503"/>
      <c r="L2" s="503"/>
      <c r="M2" s="503"/>
    </row>
    <row r="3" spans="1:48" s="88" customFormat="1" ht="16.5" customHeight="1">
      <c r="A3" s="496" t="s">
        <v>1217</v>
      </c>
      <c r="B3" s="496"/>
      <c r="C3" s="493" t="s">
        <v>3295</v>
      </c>
      <c r="D3" s="493"/>
      <c r="E3" s="493"/>
      <c r="F3" s="493"/>
      <c r="G3" s="493"/>
      <c r="H3" s="493"/>
      <c r="I3" s="493"/>
      <c r="J3" s="493"/>
      <c r="K3" s="493"/>
      <c r="L3" s="493"/>
      <c r="M3" s="493"/>
    </row>
    <row r="4" spans="1:48" s="88" customFormat="1" ht="16.5" customHeight="1">
      <c r="A4" s="496" t="s">
        <v>5786</v>
      </c>
      <c r="B4" s="496"/>
      <c r="C4" s="497" t="s">
        <v>3296</v>
      </c>
      <c r="D4" s="497"/>
      <c r="E4" s="497"/>
      <c r="F4" s="497"/>
      <c r="G4" s="497"/>
      <c r="H4" s="497"/>
      <c r="I4" s="497"/>
      <c r="J4" s="497"/>
      <c r="K4" s="497"/>
      <c r="L4" s="497"/>
      <c r="M4" s="497"/>
    </row>
    <row r="5" spans="1:48" s="88" customFormat="1" ht="16.5" customHeight="1">
      <c r="A5" s="496" t="s">
        <v>1220</v>
      </c>
      <c r="B5" s="496"/>
      <c r="C5" s="493" t="s">
        <v>3297</v>
      </c>
      <c r="D5" s="493"/>
      <c r="E5" s="493"/>
      <c r="F5" s="493"/>
      <c r="G5" s="493"/>
      <c r="H5" s="493"/>
      <c r="I5" s="493"/>
      <c r="J5" s="493"/>
      <c r="K5" s="493"/>
      <c r="L5" s="493"/>
      <c r="M5" s="493"/>
    </row>
    <row r="6" spans="1:48" s="88" customFormat="1" ht="16.5" customHeight="1">
      <c r="A6" s="496" t="s">
        <v>5785</v>
      </c>
      <c r="B6" s="496"/>
      <c r="C6" s="493" t="s">
        <v>3298</v>
      </c>
      <c r="D6" s="493"/>
      <c r="E6" s="493"/>
      <c r="F6" s="493"/>
      <c r="G6" s="493"/>
      <c r="H6" s="493"/>
      <c r="I6" s="493"/>
      <c r="J6" s="493"/>
      <c r="K6" s="493"/>
      <c r="L6" s="493"/>
      <c r="M6" s="493"/>
    </row>
    <row r="7" spans="1:48" s="88" customFormat="1" ht="16.5" customHeight="1">
      <c r="A7" s="89" t="s">
        <v>1223</v>
      </c>
      <c r="B7" s="92" t="s">
        <v>3299</v>
      </c>
      <c r="C7" s="493" t="s">
        <v>3300</v>
      </c>
      <c r="D7" s="493"/>
      <c r="E7" s="493"/>
      <c r="F7" s="493"/>
      <c r="G7" s="493"/>
      <c r="H7" s="493"/>
      <c r="I7" s="493"/>
      <c r="J7" s="493"/>
      <c r="K7" s="493"/>
      <c r="L7" s="493"/>
      <c r="M7" s="493"/>
    </row>
    <row r="8" spans="1:48" s="88" customFormat="1" ht="24.75" customHeight="1">
      <c r="A8" s="89"/>
      <c r="B8" s="92" t="s">
        <v>3301</v>
      </c>
      <c r="C8" s="493" t="s">
        <v>3302</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24" customHeight="1">
      <c r="A10" s="89" t="s">
        <v>1228</v>
      </c>
      <c r="B10" s="493" t="s">
        <v>3303</v>
      </c>
      <c r="C10" s="493"/>
      <c r="D10" s="493"/>
      <c r="E10" s="493"/>
      <c r="F10" s="493"/>
      <c r="G10" s="493"/>
      <c r="H10" s="493"/>
      <c r="I10" s="493"/>
      <c r="J10" s="493"/>
      <c r="K10" s="493"/>
      <c r="L10" s="493"/>
      <c r="M10" s="493"/>
    </row>
    <row r="11" spans="1:48" ht="16.5" customHeight="1">
      <c r="A11" s="89" t="s">
        <v>1229</v>
      </c>
      <c r="B11" s="493" t="s">
        <v>3304</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24.75" customHeight="1">
      <c r="B16" s="660" t="s">
        <v>3305</v>
      </c>
      <c r="C16" s="660"/>
      <c r="D16" s="660"/>
      <c r="E16" s="660"/>
      <c r="F16" s="660"/>
      <c r="G16" s="660"/>
      <c r="H16" s="660"/>
      <c r="I16" s="660"/>
      <c r="J16" s="660"/>
      <c r="K16" s="660"/>
      <c r="L16" s="660"/>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86" t="s">
        <v>2087</v>
      </c>
      <c r="G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3306</v>
      </c>
      <c r="C18" s="504" t="s">
        <v>3307</v>
      </c>
      <c r="D18" s="504"/>
      <c r="E18" s="504"/>
      <c r="F18" s="504"/>
      <c r="G18" s="504"/>
      <c r="H18" s="504"/>
      <c r="I18" s="504"/>
      <c r="J18" s="96" t="s">
        <v>2087</v>
      </c>
      <c r="K18" s="97" t="s">
        <v>1431</v>
      </c>
      <c r="L18" s="104" t="s">
        <v>1238</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38.25" customHeight="1">
      <c r="B19" s="111" t="s">
        <v>3308</v>
      </c>
      <c r="C19" s="656" t="s">
        <v>3309</v>
      </c>
      <c r="D19" s="656"/>
      <c r="E19" s="656"/>
      <c r="F19" s="656"/>
      <c r="G19" s="656"/>
      <c r="H19" s="656"/>
      <c r="I19" s="656"/>
      <c r="J19" s="208">
        <v>123.456</v>
      </c>
      <c r="K19" s="209" t="str">
        <f>TEXT(J19,"####.##")</f>
        <v>123.46</v>
      </c>
      <c r="L19" s="108" t="s">
        <v>3310</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24.75" customHeight="1">
      <c r="B20" s="111">
        <v>0</v>
      </c>
      <c r="C20" s="656" t="s">
        <v>3311</v>
      </c>
      <c r="D20" s="656"/>
      <c r="E20" s="656"/>
      <c r="F20" s="656"/>
      <c r="G20" s="656"/>
      <c r="H20" s="656"/>
      <c r="I20" s="656"/>
      <c r="J20" s="208">
        <v>123.456</v>
      </c>
      <c r="K20" s="209" t="str">
        <f>TEXT(J20,"0000.00")</f>
        <v>0123.46</v>
      </c>
      <c r="L20" s="108" t="s">
        <v>3312</v>
      </c>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24.75" customHeight="1">
      <c r="B21" s="111" t="s">
        <v>3313</v>
      </c>
      <c r="C21" s="656" t="s">
        <v>3314</v>
      </c>
      <c r="D21" s="656"/>
      <c r="E21" s="656"/>
      <c r="F21" s="656"/>
      <c r="G21" s="656"/>
      <c r="H21" s="656"/>
      <c r="I21" s="656"/>
      <c r="J21" s="208">
        <v>12.345599999999999</v>
      </c>
      <c r="K21" s="209" t="str">
        <f>TEXT(J21,"???.???")</f>
        <v xml:space="preserve"> 12.346</v>
      </c>
      <c r="L21" s="108" t="s">
        <v>3315</v>
      </c>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3316</v>
      </c>
      <c r="C22" s="656" t="s">
        <v>3317</v>
      </c>
      <c r="D22" s="656"/>
      <c r="E22" s="656"/>
      <c r="F22" s="656"/>
      <c r="G22" s="656"/>
      <c r="H22" s="656"/>
      <c r="I22" s="656"/>
      <c r="J22" s="208">
        <v>12345</v>
      </c>
      <c r="K22" s="209" t="str">
        <f>TEXT(J22,"###.000")</f>
        <v>12345.000</v>
      </c>
      <c r="L22" s="108" t="s">
        <v>3318</v>
      </c>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483" t="s">
        <v>3319</v>
      </c>
      <c r="C23" s="656" t="s">
        <v>3320</v>
      </c>
      <c r="D23" s="656"/>
      <c r="E23" s="656"/>
      <c r="F23" s="656"/>
      <c r="G23" s="656"/>
      <c r="H23" s="656"/>
      <c r="I23" s="656"/>
      <c r="J23" s="208">
        <v>12345</v>
      </c>
      <c r="K23" s="209" t="str">
        <f>TEXT(J23,"###,###")</f>
        <v>12,345</v>
      </c>
      <c r="L23" s="108" t="s">
        <v>3321</v>
      </c>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24.75" customHeight="1">
      <c r="B24" s="483"/>
      <c r="C24" s="656" t="s">
        <v>3322</v>
      </c>
      <c r="D24" s="656"/>
      <c r="E24" s="656"/>
      <c r="F24" s="656"/>
      <c r="G24" s="656"/>
      <c r="H24" s="656"/>
      <c r="I24" s="656"/>
      <c r="J24" s="208">
        <v>12345</v>
      </c>
      <c r="K24" s="209" t="str">
        <f>TEXT(J24,"0.00千元")</f>
        <v>12345.00千元</v>
      </c>
      <c r="L24" s="108" t="s">
        <v>3323</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24.75" customHeight="1">
      <c r="B25" s="483"/>
      <c r="C25" s="656" t="s">
        <v>3324</v>
      </c>
      <c r="D25" s="656"/>
      <c r="E25" s="656"/>
      <c r="F25" s="656"/>
      <c r="G25" s="656"/>
      <c r="H25" s="656"/>
      <c r="I25" s="656"/>
      <c r="J25" s="208">
        <v>12346</v>
      </c>
      <c r="K25" s="209" t="str">
        <f>TEXT(J25,"0.00,,百万元")</f>
        <v>0.01百万元</v>
      </c>
      <c r="L25" s="108" t="s">
        <v>3325</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3326</v>
      </c>
      <c r="C26" s="656" t="s">
        <v>3327</v>
      </c>
      <c r="D26" s="656"/>
      <c r="E26" s="656"/>
      <c r="F26" s="656"/>
      <c r="G26" s="656"/>
      <c r="H26" s="656"/>
      <c r="I26" s="656"/>
      <c r="J26" s="208">
        <v>0.5</v>
      </c>
      <c r="K26" s="209" t="str">
        <f>TEXT(J26,"0%")</f>
        <v>50%</v>
      </c>
      <c r="L26" s="108" t="s">
        <v>3328</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3329</v>
      </c>
      <c r="C27" s="656" t="s">
        <v>3330</v>
      </c>
      <c r="D27" s="656"/>
      <c r="E27" s="656"/>
      <c r="F27" s="656"/>
      <c r="G27" s="656"/>
      <c r="H27" s="656"/>
      <c r="I27" s="656"/>
      <c r="J27" s="208">
        <v>12345</v>
      </c>
      <c r="K27" s="209" t="str">
        <f>TEXT(J27,"￥#####")</f>
        <v>¥12345</v>
      </c>
      <c r="L27" s="108" t="s">
        <v>3331</v>
      </c>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3332</v>
      </c>
      <c r="C28" s="656" t="s">
        <v>3333</v>
      </c>
      <c r="D28" s="656"/>
      <c r="E28" s="656"/>
      <c r="F28" s="656"/>
      <c r="G28" s="656"/>
      <c r="H28" s="656"/>
      <c r="I28" s="656"/>
      <c r="J28" s="208">
        <v>12345</v>
      </c>
      <c r="K28" s="209" t="str">
        <f>TEXT(J28,"$#####")</f>
        <v>$12345</v>
      </c>
      <c r="L28" s="108" t="s">
        <v>3334</v>
      </c>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51" t="s">
        <v>3335</v>
      </c>
      <c r="C29" s="657" t="s">
        <v>3336</v>
      </c>
      <c r="D29" s="657"/>
      <c r="E29" s="657"/>
      <c r="F29" s="657"/>
      <c r="G29" s="657"/>
      <c r="H29" s="657"/>
      <c r="I29" s="657"/>
      <c r="J29" s="228">
        <v>0.5</v>
      </c>
      <c r="K29" s="226" t="str">
        <f>TEXT(J29,"##/##")</f>
        <v>1/2</v>
      </c>
      <c r="L29" s="108" t="s">
        <v>3337</v>
      </c>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C30" s="92"/>
      <c r="D30" s="92"/>
      <c r="E30" s="92"/>
      <c r="F30" s="92"/>
      <c r="G30" s="92"/>
      <c r="H30" s="92"/>
      <c r="I30" s="92"/>
      <c r="J30" s="92"/>
      <c r="K30" s="92"/>
      <c r="L30" s="92"/>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86" t="s">
        <v>3338</v>
      </c>
      <c r="C31" s="92"/>
      <c r="D31" s="92"/>
      <c r="E31" s="92"/>
      <c r="F31" s="92"/>
      <c r="G31" s="92"/>
      <c r="H31" s="92"/>
      <c r="I31" s="92"/>
      <c r="J31" s="92"/>
      <c r="K31" s="92"/>
      <c r="L31" s="92"/>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95" t="s">
        <v>3306</v>
      </c>
      <c r="C32" s="568" t="s">
        <v>3307</v>
      </c>
      <c r="D32" s="506"/>
      <c r="E32" s="506"/>
      <c r="F32" s="506"/>
      <c r="G32" s="506"/>
      <c r="H32" s="506"/>
      <c r="I32" s="506"/>
      <c r="J32" s="96" t="s">
        <v>2087</v>
      </c>
      <c r="K32" s="97" t="s">
        <v>1431</v>
      </c>
      <c r="L32" s="104" t="s">
        <v>1238</v>
      </c>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24.75" customHeight="1">
      <c r="A33" s="94"/>
      <c r="B33" s="111" t="s">
        <v>3339</v>
      </c>
      <c r="C33" s="658" t="s">
        <v>3340</v>
      </c>
      <c r="D33" s="659"/>
      <c r="E33" s="659"/>
      <c r="F33" s="659"/>
      <c r="G33" s="659"/>
      <c r="H33" s="659"/>
      <c r="I33" s="659"/>
      <c r="J33" s="229">
        <v>0.35423611111111114</v>
      </c>
      <c r="K33" s="209" t="str">
        <f>TEXT(J33,"hh")</f>
        <v>08</v>
      </c>
      <c r="L33" s="108" t="s">
        <v>3341</v>
      </c>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111" t="s">
        <v>3342</v>
      </c>
      <c r="C34" s="658" t="s">
        <v>3343</v>
      </c>
      <c r="D34" s="659"/>
      <c r="E34" s="659"/>
      <c r="F34" s="659"/>
      <c r="G34" s="659"/>
      <c r="H34" s="659"/>
      <c r="I34" s="659"/>
      <c r="J34" s="229">
        <v>0.35423611111111114</v>
      </c>
      <c r="K34" s="209" t="str">
        <f>TEXT(J34,"h")</f>
        <v>8</v>
      </c>
      <c r="L34" s="108" t="s">
        <v>3344</v>
      </c>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24.75" customHeight="1">
      <c r="B35" s="111" t="s">
        <v>3345</v>
      </c>
      <c r="C35" s="658" t="s">
        <v>3346</v>
      </c>
      <c r="D35" s="659"/>
      <c r="E35" s="659"/>
      <c r="F35" s="659"/>
      <c r="G35" s="659"/>
      <c r="H35" s="659"/>
      <c r="I35" s="659"/>
      <c r="J35" s="229">
        <v>0.35423611111111114</v>
      </c>
      <c r="K35" s="101" t="s">
        <v>3347</v>
      </c>
      <c r="L35" s="158"/>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24.75" customHeight="1">
      <c r="B36" s="111" t="s">
        <v>3348</v>
      </c>
      <c r="C36" s="658" t="s">
        <v>3349</v>
      </c>
      <c r="D36" s="659"/>
      <c r="E36" s="659"/>
      <c r="F36" s="659"/>
      <c r="G36" s="659"/>
      <c r="H36" s="659"/>
      <c r="I36" s="659"/>
      <c r="J36" s="229">
        <v>0.35423611111111114</v>
      </c>
      <c r="K36" s="209" t="str">
        <f>TEXT(J36,"ss")</f>
        <v>06</v>
      </c>
      <c r="L36" s="108" t="s">
        <v>3350</v>
      </c>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B37" s="111" t="s">
        <v>3351</v>
      </c>
      <c r="C37" s="658" t="s">
        <v>3352</v>
      </c>
      <c r="D37" s="659"/>
      <c r="E37" s="659"/>
      <c r="F37" s="659"/>
      <c r="G37" s="659"/>
      <c r="H37" s="659"/>
      <c r="I37" s="659"/>
      <c r="J37" s="229">
        <v>0.35423611111111114</v>
      </c>
      <c r="K37" s="209" t="str">
        <f>TEXT(J37,"s")</f>
        <v>6</v>
      </c>
      <c r="L37" s="108" t="s">
        <v>3353</v>
      </c>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24.75" customHeight="1">
      <c r="B38" s="111" t="s">
        <v>3354</v>
      </c>
      <c r="C38" s="658" t="s">
        <v>3355</v>
      </c>
      <c r="D38" s="659"/>
      <c r="E38" s="659"/>
      <c r="F38" s="659"/>
      <c r="G38" s="659"/>
      <c r="H38" s="659"/>
      <c r="I38" s="659"/>
      <c r="J38" s="229">
        <v>0.35423611111111114</v>
      </c>
      <c r="K38" s="209" t="str">
        <f>TEXT(J38,"h:m AM/PM")</f>
        <v>8:30 AM</v>
      </c>
      <c r="L38" s="108" t="s">
        <v>3356</v>
      </c>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24.75" customHeight="1">
      <c r="B39" s="111" t="s">
        <v>3357</v>
      </c>
      <c r="C39" s="658" t="s">
        <v>3358</v>
      </c>
      <c r="D39" s="659"/>
      <c r="E39" s="659"/>
      <c r="F39" s="659"/>
      <c r="G39" s="659"/>
      <c r="H39" s="659"/>
      <c r="I39" s="659"/>
      <c r="J39" s="229">
        <v>0.35423611111111114</v>
      </c>
      <c r="K39" s="209" t="str">
        <f>TEXT(J39,"[mm]:ss")</f>
        <v>510:06</v>
      </c>
      <c r="L39" s="108" t="s">
        <v>3359</v>
      </c>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111" t="s">
        <v>3360</v>
      </c>
      <c r="C40" s="658" t="s">
        <v>3361</v>
      </c>
      <c r="D40" s="659"/>
      <c r="E40" s="659"/>
      <c r="F40" s="659"/>
      <c r="G40" s="659"/>
      <c r="H40" s="659"/>
      <c r="I40" s="659"/>
      <c r="J40" s="230">
        <v>41200</v>
      </c>
      <c r="K40" s="209" t="str">
        <f>TEXT(J40,"yyyy")</f>
        <v>2012</v>
      </c>
      <c r="L40" s="108" t="s">
        <v>3362</v>
      </c>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111" t="s">
        <v>3363</v>
      </c>
      <c r="C41" s="658" t="s">
        <v>3364</v>
      </c>
      <c r="D41" s="659"/>
      <c r="E41" s="659"/>
      <c r="F41" s="659"/>
      <c r="G41" s="659"/>
      <c r="H41" s="659"/>
      <c r="I41" s="659"/>
      <c r="J41" s="230">
        <v>41200</v>
      </c>
      <c r="K41" s="209" t="str">
        <f>TEXT(J41,"yy")</f>
        <v>12</v>
      </c>
      <c r="L41" s="108" t="s">
        <v>3365</v>
      </c>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111" t="s">
        <v>3366</v>
      </c>
      <c r="C42" s="658" t="s">
        <v>3367</v>
      </c>
      <c r="D42" s="659"/>
      <c r="E42" s="659"/>
      <c r="F42" s="659"/>
      <c r="G42" s="659"/>
      <c r="H42" s="659"/>
      <c r="I42" s="659"/>
      <c r="J42" s="230"/>
      <c r="K42" s="209"/>
      <c r="L42" s="158"/>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111" t="s">
        <v>3368</v>
      </c>
      <c r="C43" s="658" t="s">
        <v>3369</v>
      </c>
      <c r="D43" s="659"/>
      <c r="E43" s="659"/>
      <c r="F43" s="659"/>
      <c r="G43" s="659"/>
      <c r="H43" s="659"/>
      <c r="I43" s="659"/>
      <c r="J43" s="230"/>
      <c r="K43" s="209"/>
      <c r="L43" s="158"/>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111" t="s">
        <v>3370</v>
      </c>
      <c r="C44" s="658" t="s">
        <v>3371</v>
      </c>
      <c r="D44" s="659"/>
      <c r="E44" s="659"/>
      <c r="F44" s="659"/>
      <c r="G44" s="659"/>
      <c r="H44" s="659"/>
      <c r="I44" s="659"/>
      <c r="J44" s="230"/>
      <c r="K44" s="209"/>
      <c r="L44" s="158"/>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111" t="s">
        <v>3372</v>
      </c>
      <c r="C45" s="658" t="s">
        <v>3373</v>
      </c>
      <c r="D45" s="659"/>
      <c r="E45" s="659"/>
      <c r="F45" s="659"/>
      <c r="G45" s="659"/>
      <c r="H45" s="659"/>
      <c r="I45" s="659"/>
      <c r="J45" s="230"/>
      <c r="K45" s="209"/>
      <c r="L45" s="158"/>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111" t="s">
        <v>3374</v>
      </c>
      <c r="C46" s="658" t="s">
        <v>3375</v>
      </c>
      <c r="D46" s="659"/>
      <c r="E46" s="659"/>
      <c r="F46" s="659"/>
      <c r="G46" s="659"/>
      <c r="H46" s="659"/>
      <c r="I46" s="659"/>
      <c r="J46" s="230">
        <v>41200</v>
      </c>
      <c r="K46" s="209" t="str">
        <f>TEXT(J46,"m")</f>
        <v>10</v>
      </c>
      <c r="L46" s="108" t="s">
        <v>3376</v>
      </c>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111" t="s">
        <v>3377</v>
      </c>
      <c r="C47" s="658" t="s">
        <v>3378</v>
      </c>
      <c r="D47" s="659"/>
      <c r="E47" s="659"/>
      <c r="F47" s="659"/>
      <c r="G47" s="659"/>
      <c r="H47" s="659"/>
      <c r="I47" s="659"/>
      <c r="J47" s="230">
        <v>41200</v>
      </c>
      <c r="K47" s="209" t="str">
        <f>TEXT(J47,"mmmm")</f>
        <v>October</v>
      </c>
      <c r="L47" s="108" t="s">
        <v>3379</v>
      </c>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ht="16.5" customHeight="1">
      <c r="B48" s="111" t="s">
        <v>3380</v>
      </c>
      <c r="C48" s="658" t="s">
        <v>3381</v>
      </c>
      <c r="D48" s="659"/>
      <c r="E48" s="659"/>
      <c r="F48" s="659"/>
      <c r="G48" s="659"/>
      <c r="H48" s="659"/>
      <c r="I48" s="659"/>
      <c r="J48" s="230">
        <v>41200</v>
      </c>
      <c r="K48" s="209" t="str">
        <f>TEXT(J48,"mmm")</f>
        <v>Oct</v>
      </c>
      <c r="L48" s="108" t="s">
        <v>3382</v>
      </c>
    </row>
    <row r="49" spans="2:12" ht="24.75" customHeight="1">
      <c r="B49" s="111" t="s">
        <v>3383</v>
      </c>
      <c r="C49" s="658" t="s">
        <v>3384</v>
      </c>
      <c r="D49" s="659"/>
      <c r="E49" s="659"/>
      <c r="F49" s="659"/>
      <c r="G49" s="659"/>
      <c r="H49" s="659"/>
      <c r="I49" s="659"/>
      <c r="J49" s="231">
        <v>41184</v>
      </c>
      <c r="K49" s="209" t="str">
        <f>TEXT(J49,"dd")</f>
        <v>02</v>
      </c>
      <c r="L49" s="108" t="s">
        <v>3385</v>
      </c>
    </row>
    <row r="50" spans="2:12" ht="16.5" customHeight="1">
      <c r="B50" s="111" t="s">
        <v>3386</v>
      </c>
      <c r="C50" s="658" t="s">
        <v>3387</v>
      </c>
      <c r="D50" s="659"/>
      <c r="E50" s="659"/>
      <c r="F50" s="659"/>
      <c r="G50" s="659"/>
      <c r="H50" s="659"/>
      <c r="I50" s="659"/>
      <c r="J50" s="231">
        <v>41184</v>
      </c>
      <c r="K50" s="209" t="str">
        <f>TEXT(J50,"d")</f>
        <v>2</v>
      </c>
      <c r="L50" s="108" t="s">
        <v>3388</v>
      </c>
    </row>
    <row r="51" spans="2:12" ht="16.5" customHeight="1">
      <c r="B51" s="111" t="s">
        <v>1543</v>
      </c>
      <c r="C51" s="658" t="s">
        <v>3389</v>
      </c>
      <c r="D51" s="659"/>
      <c r="E51" s="659"/>
      <c r="F51" s="659"/>
      <c r="G51" s="659"/>
      <c r="H51" s="659"/>
      <c r="I51" s="659"/>
      <c r="J51" s="230">
        <v>41200</v>
      </c>
      <c r="K51" s="209" t="str">
        <f>TEXT(J51,"aaaa")</f>
        <v>星期四</v>
      </c>
      <c r="L51" s="108" t="s">
        <v>3390</v>
      </c>
    </row>
    <row r="52" spans="2:12" ht="16.5" customHeight="1">
      <c r="B52" s="111" t="s">
        <v>1545</v>
      </c>
      <c r="C52" s="658" t="s">
        <v>3391</v>
      </c>
      <c r="D52" s="659"/>
      <c r="E52" s="659"/>
      <c r="F52" s="659"/>
      <c r="G52" s="659"/>
      <c r="H52" s="659"/>
      <c r="I52" s="659"/>
      <c r="J52" s="230">
        <v>41200</v>
      </c>
      <c r="K52" s="209" t="str">
        <f>TEXT(J52,"aaa")</f>
        <v>四</v>
      </c>
      <c r="L52" s="108" t="s">
        <v>3392</v>
      </c>
    </row>
    <row r="53" spans="2:12" ht="16.5" customHeight="1">
      <c r="B53" s="111" t="s">
        <v>1547</v>
      </c>
      <c r="C53" s="658" t="s">
        <v>3393</v>
      </c>
      <c r="D53" s="659"/>
      <c r="E53" s="659"/>
      <c r="F53" s="659"/>
      <c r="G53" s="659"/>
      <c r="H53" s="659"/>
      <c r="I53" s="659"/>
      <c r="J53" s="230">
        <v>41200</v>
      </c>
      <c r="K53" s="209" t="str">
        <f>TEXT(J53,"dddd")</f>
        <v>Thursday</v>
      </c>
      <c r="L53" s="108" t="s">
        <v>3394</v>
      </c>
    </row>
    <row r="54" spans="2:12" ht="16.5" customHeight="1">
      <c r="B54" s="151" t="s">
        <v>1549</v>
      </c>
      <c r="C54" s="658" t="s">
        <v>3395</v>
      </c>
      <c r="D54" s="659"/>
      <c r="E54" s="659"/>
      <c r="F54" s="659"/>
      <c r="G54" s="659"/>
      <c r="H54" s="659"/>
      <c r="I54" s="659"/>
      <c r="J54" s="230">
        <v>41200</v>
      </c>
      <c r="K54" s="209" t="str">
        <f>TEXT(J54,"ddd")</f>
        <v>Thu</v>
      </c>
      <c r="L54" s="108" t="s">
        <v>3396</v>
      </c>
    </row>
    <row r="55" spans="2:12" ht="16.5" customHeight="1"/>
    <row r="56" spans="2:12" ht="16.5" customHeight="1">
      <c r="B56" s="86" t="s">
        <v>3397</v>
      </c>
      <c r="C56" s="92"/>
      <c r="D56" s="92"/>
      <c r="E56" s="92"/>
      <c r="F56" s="92"/>
      <c r="G56" s="92"/>
      <c r="H56" s="92"/>
      <c r="I56" s="92"/>
      <c r="J56" s="92"/>
      <c r="K56" s="92"/>
      <c r="L56" s="92"/>
    </row>
    <row r="57" spans="2:12" ht="16.5" customHeight="1">
      <c r="B57" s="95" t="s">
        <v>3306</v>
      </c>
      <c r="C57" s="504" t="s">
        <v>3307</v>
      </c>
      <c r="D57" s="504"/>
      <c r="E57" s="504"/>
      <c r="F57" s="504"/>
      <c r="G57" s="504"/>
      <c r="H57" s="504"/>
      <c r="I57" s="504"/>
      <c r="J57" s="96" t="s">
        <v>2087</v>
      </c>
      <c r="K57" s="97" t="s">
        <v>1431</v>
      </c>
      <c r="L57" s="104" t="s">
        <v>1238</v>
      </c>
    </row>
    <row r="58" spans="2:12" ht="16.5" customHeight="1">
      <c r="B58" s="111" t="s">
        <v>3398</v>
      </c>
      <c r="C58" s="656" t="s">
        <v>3399</v>
      </c>
      <c r="D58" s="656"/>
      <c r="E58" s="656"/>
      <c r="F58" s="656"/>
      <c r="G58" s="656"/>
      <c r="H58" s="656"/>
      <c r="I58" s="656"/>
      <c r="J58" s="208">
        <v>123450</v>
      </c>
      <c r="K58" s="209" t="str">
        <f>TEXT(J58,"G/通用格式")</f>
        <v>123450</v>
      </c>
      <c r="L58" s="108" t="s">
        <v>3400</v>
      </c>
    </row>
    <row r="59" spans="2:12" ht="24.75" customHeight="1">
      <c r="B59" s="111" t="s">
        <v>3401</v>
      </c>
      <c r="C59" s="656" t="s">
        <v>3402</v>
      </c>
      <c r="D59" s="656"/>
      <c r="E59" s="656"/>
      <c r="F59" s="656"/>
      <c r="G59" s="656"/>
      <c r="H59" s="656"/>
      <c r="I59" s="656"/>
      <c r="J59" s="208">
        <v>123450</v>
      </c>
      <c r="K59" s="209" t="str">
        <f>TEXT(J59,"[DBNum1]")</f>
        <v>一十二万三千四百五十</v>
      </c>
      <c r="L59" s="108" t="s">
        <v>3403</v>
      </c>
    </row>
    <row r="60" spans="2:12" ht="24.75" customHeight="1">
      <c r="B60" s="139" t="s">
        <v>3404</v>
      </c>
      <c r="C60" s="656" t="s">
        <v>3405</v>
      </c>
      <c r="D60" s="656"/>
      <c r="E60" s="656"/>
      <c r="F60" s="656"/>
      <c r="G60" s="656"/>
      <c r="H60" s="656"/>
      <c r="I60" s="656"/>
      <c r="J60" s="208">
        <v>123450</v>
      </c>
      <c r="K60" s="209" t="str">
        <f>TEXT(J60,"[DBNum1]###0")</f>
        <v>一二三四五○</v>
      </c>
      <c r="L60" s="108" t="s">
        <v>3406</v>
      </c>
    </row>
    <row r="61" spans="2:12" ht="24.75" customHeight="1">
      <c r="B61" s="111" t="s">
        <v>3407</v>
      </c>
      <c r="C61" s="656" t="s">
        <v>3408</v>
      </c>
      <c r="D61" s="656"/>
      <c r="E61" s="656"/>
      <c r="F61" s="656"/>
      <c r="G61" s="656"/>
      <c r="H61" s="656"/>
      <c r="I61" s="656"/>
      <c r="J61" s="208">
        <v>123450</v>
      </c>
      <c r="K61" s="209" t="str">
        <f>TEXT(J61,"[DBNum2]")</f>
        <v>壹拾贰万叁仟肆佰伍拾</v>
      </c>
      <c r="L61" s="108" t="s">
        <v>3409</v>
      </c>
    </row>
    <row r="62" spans="2:12" ht="24.75" customHeight="1">
      <c r="B62" s="139" t="s">
        <v>3410</v>
      </c>
      <c r="C62" s="656" t="s">
        <v>3411</v>
      </c>
      <c r="D62" s="656"/>
      <c r="E62" s="656"/>
      <c r="F62" s="656"/>
      <c r="G62" s="656"/>
      <c r="H62" s="656"/>
      <c r="I62" s="656"/>
      <c r="J62" s="208">
        <v>123450</v>
      </c>
      <c r="K62" s="209" t="str">
        <f>TEXT(J62,"[DBNum2]###0")</f>
        <v>壹贰叁肆伍零</v>
      </c>
      <c r="L62" s="108" t="s">
        <v>3412</v>
      </c>
    </row>
    <row r="63" spans="2:12" ht="24.75" customHeight="1">
      <c r="B63" s="111" t="s">
        <v>3413</v>
      </c>
      <c r="C63" s="656" t="s">
        <v>3414</v>
      </c>
      <c r="D63" s="656"/>
      <c r="E63" s="656"/>
      <c r="F63" s="656"/>
      <c r="G63" s="656"/>
      <c r="H63" s="656"/>
      <c r="I63" s="656"/>
      <c r="J63" s="208">
        <v>123450</v>
      </c>
      <c r="K63" s="209" t="str">
        <f>TEXT(J63,"[DBNum3]")</f>
        <v>１十２万３千４百５十</v>
      </c>
      <c r="L63" s="108" t="s">
        <v>3415</v>
      </c>
    </row>
    <row r="64" spans="2:12" ht="37.5" customHeight="1">
      <c r="B64" s="139" t="s">
        <v>3416</v>
      </c>
      <c r="C64" s="656" t="s">
        <v>3417</v>
      </c>
      <c r="D64" s="656"/>
      <c r="E64" s="656"/>
      <c r="F64" s="656"/>
      <c r="G64" s="656"/>
      <c r="H64" s="656"/>
      <c r="I64" s="656"/>
      <c r="J64" s="208"/>
      <c r="K64" s="101" t="s">
        <v>3347</v>
      </c>
      <c r="L64" s="158"/>
    </row>
    <row r="65" spans="1:12" ht="16.5" customHeight="1">
      <c r="B65" s="111" t="s">
        <v>3418</v>
      </c>
      <c r="C65" s="656" t="s">
        <v>3419</v>
      </c>
      <c r="D65" s="656"/>
      <c r="E65" s="656"/>
      <c r="F65" s="656"/>
      <c r="G65" s="656"/>
      <c r="H65" s="656"/>
      <c r="I65" s="656"/>
      <c r="J65" s="208">
        <v>12345</v>
      </c>
      <c r="K65" s="209" t="str">
        <f>TEXT(J65,"##;(##)")</f>
        <v>12345</v>
      </c>
      <c r="L65" s="108" t="s">
        <v>3420</v>
      </c>
    </row>
    <row r="66" spans="1:12" ht="24.75" customHeight="1">
      <c r="B66" s="140" t="s">
        <v>3421</v>
      </c>
      <c r="C66" s="657" t="s">
        <v>3422</v>
      </c>
      <c r="D66" s="657"/>
      <c r="E66" s="657"/>
      <c r="F66" s="657"/>
      <c r="G66" s="657"/>
      <c r="H66" s="657"/>
      <c r="I66" s="657"/>
      <c r="J66" s="228">
        <v>12345</v>
      </c>
      <c r="K66" s="226" t="str">
        <f>TEXT(J66,"#,###_-$;####-$")</f>
        <v>12,345 $</v>
      </c>
      <c r="L66" s="108" t="s">
        <v>3423</v>
      </c>
    </row>
    <row r="67" spans="1:12" ht="16.5" customHeight="1"/>
    <row r="68" spans="1:12" ht="16.5" customHeight="1"/>
    <row r="69" spans="1:12" ht="16.5" customHeight="1">
      <c r="A69" s="94"/>
      <c r="B69" s="93"/>
    </row>
  </sheetData>
  <mergeCells count="65">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C28:I28"/>
    <mergeCell ref="B16:L16"/>
    <mergeCell ref="C18:I18"/>
    <mergeCell ref="C19:I19"/>
    <mergeCell ref="C20:I20"/>
    <mergeCell ref="C21:I21"/>
    <mergeCell ref="C22:I22"/>
    <mergeCell ref="C23:I23"/>
    <mergeCell ref="C24:I24"/>
    <mergeCell ref="C25:I25"/>
    <mergeCell ref="C26:I26"/>
    <mergeCell ref="C27:I27"/>
    <mergeCell ref="C42:I42"/>
    <mergeCell ref="C29:I29"/>
    <mergeCell ref="C32:I32"/>
    <mergeCell ref="C33:I33"/>
    <mergeCell ref="C34:I34"/>
    <mergeCell ref="C35:I35"/>
    <mergeCell ref="C36:I36"/>
    <mergeCell ref="C37:I37"/>
    <mergeCell ref="C38:I38"/>
    <mergeCell ref="C39:I39"/>
    <mergeCell ref="C40:I40"/>
    <mergeCell ref="C41:I41"/>
    <mergeCell ref="C54:I54"/>
    <mergeCell ref="C43:I43"/>
    <mergeCell ref="C44:I44"/>
    <mergeCell ref="C45:I45"/>
    <mergeCell ref="C46:I46"/>
    <mergeCell ref="C47:I47"/>
    <mergeCell ref="C48:I48"/>
    <mergeCell ref="C63:I63"/>
    <mergeCell ref="C64:I64"/>
    <mergeCell ref="C65:I65"/>
    <mergeCell ref="C66:I66"/>
    <mergeCell ref="B23:B25"/>
    <mergeCell ref="C57:I57"/>
    <mergeCell ref="C58:I58"/>
    <mergeCell ref="C59:I59"/>
    <mergeCell ref="C60:I60"/>
    <mergeCell ref="C61:I61"/>
    <mergeCell ref="C62:I62"/>
    <mergeCell ref="C49:I49"/>
    <mergeCell ref="C50:I50"/>
    <mergeCell ref="C51:I51"/>
    <mergeCell ref="C52:I52"/>
    <mergeCell ref="C53:I53"/>
  </mergeCells>
  <phoneticPr fontId="2" type="noConversion"/>
  <pageMargins left="0.75" right="0.75" top="1" bottom="1" header="0.5" footer="0.5"/>
  <pageSetup paperSize="9" orientation="portrait" horizontalDpi="0" verticalDpi="0"/>
  <headerFooter scaleWithDoc="0"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AV52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363</v>
      </c>
      <c r="B1" s="498"/>
      <c r="C1" s="499"/>
      <c r="D1" s="87"/>
      <c r="E1" s="500" t="str">
        <f>HYPERLINK("#目录!A213","跳转回到目录页")</f>
        <v>跳转回到目录页</v>
      </c>
      <c r="F1" s="501"/>
    </row>
    <row r="2" spans="1:48" s="88" customFormat="1" ht="26.25" customHeight="1">
      <c r="A2" s="502" t="s">
        <v>1216</v>
      </c>
      <c r="B2" s="502"/>
      <c r="C2" s="503" t="s">
        <v>1118</v>
      </c>
      <c r="D2" s="503"/>
      <c r="E2" s="503"/>
      <c r="F2" s="503"/>
      <c r="G2" s="503"/>
      <c r="H2" s="503"/>
      <c r="I2" s="503"/>
      <c r="J2" s="503"/>
      <c r="K2" s="503"/>
      <c r="L2" s="503"/>
      <c r="M2" s="503"/>
    </row>
    <row r="3" spans="1:48" s="88" customFormat="1" ht="16.5" customHeight="1">
      <c r="A3" s="496" t="s">
        <v>1217</v>
      </c>
      <c r="B3" s="496"/>
      <c r="C3" s="493" t="s">
        <v>3424</v>
      </c>
      <c r="D3" s="493"/>
      <c r="E3" s="493"/>
      <c r="F3" s="493"/>
      <c r="G3" s="493"/>
      <c r="H3" s="493"/>
      <c r="I3" s="493"/>
      <c r="J3" s="493"/>
      <c r="K3" s="493"/>
      <c r="L3" s="493"/>
      <c r="M3" s="493"/>
    </row>
    <row r="4" spans="1:48" s="88" customFormat="1" ht="16.5" customHeight="1">
      <c r="A4" s="496" t="s">
        <v>5786</v>
      </c>
      <c r="B4" s="496"/>
      <c r="C4" s="497" t="s">
        <v>3425</v>
      </c>
      <c r="D4" s="497"/>
      <c r="E4" s="497"/>
      <c r="F4" s="497"/>
      <c r="G4" s="497"/>
      <c r="H4" s="497"/>
      <c r="I4" s="497"/>
      <c r="J4" s="497"/>
      <c r="K4" s="497"/>
      <c r="L4" s="497"/>
      <c r="M4" s="497"/>
    </row>
    <row r="5" spans="1:48" s="88" customFormat="1" ht="16.5" customHeight="1">
      <c r="A5" s="496" t="s">
        <v>1220</v>
      </c>
      <c r="B5" s="496"/>
      <c r="C5" s="493" t="s">
        <v>3426</v>
      </c>
      <c r="D5" s="493"/>
      <c r="E5" s="493"/>
      <c r="F5" s="493"/>
      <c r="G5" s="493"/>
      <c r="H5" s="493"/>
      <c r="I5" s="493"/>
      <c r="J5" s="493"/>
      <c r="K5" s="493"/>
      <c r="L5" s="493"/>
      <c r="M5" s="493"/>
    </row>
    <row r="6" spans="1:48" s="88" customFormat="1" ht="16.5" customHeight="1">
      <c r="A6" s="496" t="s">
        <v>5785</v>
      </c>
      <c r="B6" s="496"/>
      <c r="C6" s="493" t="s">
        <v>3427</v>
      </c>
      <c r="D6" s="493"/>
      <c r="E6" s="493"/>
      <c r="F6" s="493"/>
      <c r="G6" s="493"/>
      <c r="H6" s="493"/>
      <c r="I6" s="493"/>
      <c r="J6" s="493"/>
      <c r="K6" s="493"/>
      <c r="L6" s="493"/>
      <c r="M6" s="493"/>
    </row>
    <row r="7" spans="1:48" s="88" customFormat="1" ht="16.5" customHeight="1">
      <c r="A7" s="89" t="s">
        <v>1223</v>
      </c>
      <c r="B7" s="92" t="s">
        <v>2200</v>
      </c>
      <c r="C7" s="493" t="s">
        <v>3428</v>
      </c>
      <c r="D7" s="493"/>
      <c r="E7" s="493"/>
      <c r="F7" s="493"/>
      <c r="G7" s="493"/>
      <c r="H7" s="493"/>
      <c r="I7" s="493"/>
      <c r="J7" s="493"/>
      <c r="K7" s="493"/>
      <c r="L7" s="493"/>
      <c r="M7" s="493"/>
    </row>
    <row r="8" spans="1:48" s="88" customFormat="1" ht="16.5" customHeight="1">
      <c r="A8" s="89"/>
      <c r="B8" s="92" t="s">
        <v>3429</v>
      </c>
      <c r="C8" s="493" t="s">
        <v>3430</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3431</v>
      </c>
      <c r="C10" s="493"/>
      <c r="D10" s="493"/>
      <c r="E10" s="493"/>
      <c r="F10" s="493"/>
      <c r="G10" s="493"/>
      <c r="H10" s="493"/>
      <c r="I10" s="493"/>
      <c r="J10" s="493"/>
      <c r="K10" s="493"/>
      <c r="L10" s="493"/>
      <c r="M10" s="493"/>
    </row>
    <row r="11" spans="1:48" ht="38.25" customHeight="1">
      <c r="A11" s="89" t="s">
        <v>1229</v>
      </c>
      <c r="B11" s="493" t="s">
        <v>3432</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F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F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A17" s="4"/>
      <c r="B17" s="93" t="s">
        <v>3433</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A18" s="4"/>
      <c r="B18" s="93" t="s">
        <v>3434</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A19" s="4"/>
      <c r="B19" s="94"/>
      <c r="C19" s="9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A20" s="4"/>
      <c r="B20" s="94" t="s">
        <v>3435</v>
      </c>
      <c r="C20" s="93" t="s">
        <v>3436</v>
      </c>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A21" s="4"/>
      <c r="B21" s="94">
        <v>0</v>
      </c>
      <c r="C21" s="93" t="s">
        <v>3437</v>
      </c>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A22" s="4"/>
      <c r="B22" s="94" t="s">
        <v>3438</v>
      </c>
      <c r="C22" s="93" t="s">
        <v>3439</v>
      </c>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4"/>
      <c r="B23" s="94" t="s">
        <v>3440</v>
      </c>
      <c r="C23" s="93" t="s">
        <v>3441</v>
      </c>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A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A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A26" s="4"/>
      <c r="B26" s="565" t="s">
        <v>3442</v>
      </c>
      <c r="C26" s="565"/>
      <c r="D26" s="565"/>
      <c r="E26" s="565"/>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A27" s="4"/>
      <c r="B27" s="95" t="s">
        <v>1246</v>
      </c>
      <c r="C27" s="96" t="s">
        <v>1607</v>
      </c>
      <c r="D27" s="220" t="s">
        <v>3443</v>
      </c>
      <c r="E27" s="97" t="s">
        <v>1431</v>
      </c>
      <c r="F27" s="104" t="s">
        <v>1238</v>
      </c>
      <c r="H27" s="104" t="s">
        <v>3444</v>
      </c>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A28" s="4"/>
      <c r="B28" s="111" t="s">
        <v>1375</v>
      </c>
      <c r="C28" s="100"/>
      <c r="D28" s="100" t="s">
        <v>1375</v>
      </c>
      <c r="E28" s="101"/>
      <c r="H28" s="158"/>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A29" s="4"/>
      <c r="B29" s="215" t="s">
        <v>1850</v>
      </c>
      <c r="C29" s="216" t="s">
        <v>1618</v>
      </c>
      <c r="D29" s="110">
        <v>18431</v>
      </c>
      <c r="E29" s="221" t="str">
        <f>DOLLAR(D29,0)</f>
        <v>¥18,431</v>
      </c>
      <c r="F29" s="108" t="s">
        <v>5853</v>
      </c>
      <c r="H29" s="158" t="s">
        <v>3445</v>
      </c>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A30" s="4"/>
      <c r="B30" s="215" t="s">
        <v>1852</v>
      </c>
      <c r="C30" s="216" t="s">
        <v>1612</v>
      </c>
      <c r="D30" s="110">
        <v>18431</v>
      </c>
      <c r="E30" s="221" t="str">
        <f>DOLLAR(D30,1)</f>
        <v>¥18,431.0</v>
      </c>
      <c r="F30" s="108" t="s">
        <v>5854</v>
      </c>
      <c r="H30" s="158" t="s">
        <v>3446</v>
      </c>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A31" s="4"/>
      <c r="B31" s="215" t="s">
        <v>1851</v>
      </c>
      <c r="C31" s="216" t="s">
        <v>1612</v>
      </c>
      <c r="D31" s="110">
        <v>18431</v>
      </c>
      <c r="E31" s="221" t="str">
        <f>DOLLAR(D31,-1)</f>
        <v>¥18,430</v>
      </c>
      <c r="F31" s="108" t="s">
        <v>5855</v>
      </c>
      <c r="H31" s="108" t="s">
        <v>3447</v>
      </c>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A32" s="4"/>
      <c r="B32" s="215" t="s">
        <v>1849</v>
      </c>
      <c r="C32" s="216" t="s">
        <v>1618</v>
      </c>
      <c r="D32" s="110">
        <v>18431</v>
      </c>
      <c r="E32" s="221" t="str">
        <f>DOLLAR(D32,)</f>
        <v>¥18,431</v>
      </c>
      <c r="F32" s="108" t="s">
        <v>5856</v>
      </c>
      <c r="H32" s="158" t="s">
        <v>3448</v>
      </c>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4"/>
      <c r="B33" s="215" t="s">
        <v>1848</v>
      </c>
      <c r="C33" s="216" t="s">
        <v>1618</v>
      </c>
      <c r="D33" s="110">
        <v>18432</v>
      </c>
      <c r="E33" s="221" t="str">
        <f>DOLLAR(D33)</f>
        <v>¥18,432.00</v>
      </c>
      <c r="F33" s="108" t="s">
        <v>5857</v>
      </c>
      <c r="H33" s="158" t="s">
        <v>3449</v>
      </c>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A34" s="4"/>
      <c r="B34" s="151" t="s">
        <v>1375</v>
      </c>
      <c r="C34" s="106"/>
      <c r="D34" s="106" t="s">
        <v>1375</v>
      </c>
      <c r="E34" s="107"/>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A37" s="94" t="s">
        <v>1244</v>
      </c>
      <c r="B37" s="93" t="s">
        <v>1773</v>
      </c>
      <c r="C37" s="4"/>
      <c r="D37" s="4"/>
      <c r="F37" s="158"/>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A38" s="4"/>
      <c r="F38" s="158"/>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A39" s="4"/>
      <c r="B39" s="482" t="s">
        <v>2087</v>
      </c>
      <c r="C39" s="504"/>
      <c r="D39" s="504" t="s">
        <v>1431</v>
      </c>
      <c r="E39" s="505"/>
      <c r="F39" s="104" t="s">
        <v>1238</v>
      </c>
      <c r="G39" s="158"/>
      <c r="H39" s="158" t="s">
        <v>3450</v>
      </c>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A40" s="4"/>
      <c r="B40" s="654">
        <v>123456.12345</v>
      </c>
      <c r="C40" s="554"/>
      <c r="D40" s="554" t="str">
        <f>DOLLAR(B40,0)</f>
        <v>¥123,456</v>
      </c>
      <c r="E40" s="555"/>
      <c r="F40" s="108" t="s">
        <v>5858</v>
      </c>
      <c r="G40" s="158"/>
      <c r="H40" s="158" t="s">
        <v>3451</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A41" s="4"/>
      <c r="B41" s="654">
        <v>123456.12345</v>
      </c>
      <c r="C41" s="554"/>
      <c r="D41" s="554" t="str">
        <f>DOLLAR(B41,1)</f>
        <v>¥123,456.1</v>
      </c>
      <c r="E41" s="555"/>
      <c r="F41" s="108" t="s">
        <v>5859</v>
      </c>
      <c r="H41" s="158" t="s">
        <v>3452</v>
      </c>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A42" s="4"/>
      <c r="B42" s="654">
        <v>123456.12345</v>
      </c>
      <c r="C42" s="554"/>
      <c r="D42" s="554" t="str">
        <f>DOLLAR(B42,2)</f>
        <v>¥123,456.12</v>
      </c>
      <c r="E42" s="555"/>
      <c r="F42" s="108" t="s">
        <v>5860</v>
      </c>
      <c r="H42" s="158" t="s">
        <v>3453</v>
      </c>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A43" s="4"/>
      <c r="B43" s="654">
        <v>123456.12345</v>
      </c>
      <c r="C43" s="554"/>
      <c r="D43" s="554" t="str">
        <f>DOLLAR(B43,-1)</f>
        <v>¥123,460</v>
      </c>
      <c r="E43" s="555"/>
      <c r="F43" s="108" t="s">
        <v>5861</v>
      </c>
      <c r="H43" s="108" t="s">
        <v>3454</v>
      </c>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A44" s="4"/>
      <c r="B44" s="654">
        <v>123456.12345</v>
      </c>
      <c r="C44" s="554"/>
      <c r="D44" s="554" t="str">
        <f>DOLLAR(B44,-2)</f>
        <v>¥123,500</v>
      </c>
      <c r="E44" s="555"/>
      <c r="F44" s="108" t="s">
        <v>5862</v>
      </c>
      <c r="H44" s="108" t="s">
        <v>3455</v>
      </c>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A45" s="4"/>
      <c r="B45" s="653">
        <v>123456.12345</v>
      </c>
      <c r="C45" s="556"/>
      <c r="D45" s="556" t="str">
        <f>DOLLAR(B45)</f>
        <v>¥123,456.12</v>
      </c>
      <c r="E45" s="557"/>
      <c r="F45" s="108" t="s">
        <v>5863</v>
      </c>
      <c r="H45" s="158" t="s">
        <v>3456</v>
      </c>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365</v>
      </c>
      <c r="B100" s="498"/>
      <c r="C100" s="499"/>
      <c r="D100" s="87"/>
      <c r="E100" s="500" t="str">
        <f>HYPERLINK("#目录!A214","跳转回到目录页")</f>
        <v>跳转回到目录页</v>
      </c>
      <c r="F100" s="501"/>
    </row>
    <row r="101" spans="1:13" s="88" customFormat="1" ht="26.25" customHeight="1">
      <c r="A101" s="502" t="s">
        <v>1216</v>
      </c>
      <c r="B101" s="502"/>
      <c r="C101" s="503" t="s">
        <v>366</v>
      </c>
      <c r="D101" s="503"/>
      <c r="E101" s="503"/>
      <c r="F101" s="503"/>
      <c r="G101" s="503"/>
      <c r="H101" s="503"/>
      <c r="I101" s="503"/>
      <c r="J101" s="503"/>
      <c r="K101" s="503"/>
      <c r="L101" s="503"/>
      <c r="M101" s="503"/>
    </row>
    <row r="102" spans="1:13" s="88" customFormat="1" ht="16.5" customHeight="1">
      <c r="A102" s="496" t="s">
        <v>1217</v>
      </c>
      <c r="B102" s="496"/>
      <c r="C102" s="493" t="str">
        <f t="shared" ref="C102:C107" si="0">C3</f>
        <v>可将数字转换为文本格式,并应用货币符号.函数的名称及其应用的货币符号取决于您的语言设置.</v>
      </c>
      <c r="D102" s="493"/>
      <c r="E102" s="493"/>
      <c r="F102" s="493"/>
      <c r="G102" s="493"/>
      <c r="H102" s="493"/>
      <c r="I102" s="493"/>
      <c r="J102" s="493"/>
      <c r="K102" s="493"/>
      <c r="L102" s="493"/>
      <c r="M102" s="493"/>
    </row>
    <row r="103" spans="1:13" s="88" customFormat="1" ht="16.5" customHeight="1">
      <c r="A103" s="496" t="s">
        <v>5786</v>
      </c>
      <c r="B103" s="496"/>
      <c r="C103" s="497" t="s">
        <v>3457</v>
      </c>
      <c r="D103" s="497"/>
      <c r="E103" s="497"/>
      <c r="F103" s="497"/>
      <c r="G103" s="497"/>
      <c r="H103" s="497"/>
      <c r="I103" s="497"/>
      <c r="J103" s="497"/>
      <c r="K103" s="497"/>
      <c r="L103" s="497"/>
      <c r="M103" s="497"/>
    </row>
    <row r="104" spans="1:13" s="88" customFormat="1" ht="16.5" customHeight="1">
      <c r="A104" s="496" t="s">
        <v>1220</v>
      </c>
      <c r="B104" s="496"/>
      <c r="C104" s="493" t="s">
        <v>3458</v>
      </c>
      <c r="D104" s="493"/>
      <c r="E104" s="493"/>
      <c r="F104" s="493"/>
      <c r="G104" s="493"/>
      <c r="H104" s="493"/>
      <c r="I104" s="493"/>
      <c r="J104" s="493"/>
      <c r="K104" s="493"/>
      <c r="L104" s="493"/>
      <c r="M104" s="493"/>
    </row>
    <row r="105" spans="1:13" s="88" customFormat="1" ht="16.5" customHeight="1">
      <c r="A105" s="496" t="s">
        <v>5785</v>
      </c>
      <c r="B105" s="496"/>
      <c r="C105" s="493" t="s">
        <v>3459</v>
      </c>
      <c r="D105" s="493"/>
      <c r="E105" s="493"/>
      <c r="F105" s="493"/>
      <c r="G105" s="493"/>
      <c r="H105" s="493"/>
      <c r="I105" s="493"/>
      <c r="J105" s="493"/>
      <c r="K105" s="493"/>
      <c r="L105" s="493"/>
      <c r="M105" s="493"/>
    </row>
    <row r="106" spans="1:13" s="88" customFormat="1" ht="16.5" customHeight="1">
      <c r="A106" s="89" t="s">
        <v>1223</v>
      </c>
      <c r="B106" s="92" t="s">
        <v>2200</v>
      </c>
      <c r="C106" s="493" t="str">
        <f t="shared" si="0"/>
        <v>为数字、包含数字的单元格引用,或是计算结果为数字的公式.</v>
      </c>
      <c r="D106" s="493"/>
      <c r="E106" s="493"/>
      <c r="F106" s="493"/>
      <c r="G106" s="493"/>
      <c r="H106" s="493"/>
      <c r="I106" s="493"/>
      <c r="J106" s="493"/>
      <c r="K106" s="493"/>
      <c r="L106" s="493"/>
      <c r="M106" s="493"/>
    </row>
    <row r="107" spans="1:13" s="88" customFormat="1" ht="16.5" customHeight="1">
      <c r="A107" s="89"/>
      <c r="B107" s="92" t="s">
        <v>3429</v>
      </c>
      <c r="C107" s="493" t="str">
        <f t="shared" si="0"/>
        <v>为十进制数的小数位数.如果Decimals为负数,则参数number从小数点往左按相应位数取整.如果省略Decimals,则假设其值为2.</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tr">
        <f>B10</f>
        <v>该函数依照货币格式将小数四舍五入到指定的位数并转换成文本.使用的格式为(￥#,##0.00_);(￥#,##0.00).</v>
      </c>
      <c r="C109" s="493"/>
      <c r="D109" s="493"/>
      <c r="E109" s="493"/>
      <c r="F109" s="493"/>
      <c r="G109" s="493"/>
      <c r="H109" s="493"/>
      <c r="I109" s="493"/>
      <c r="J109" s="493"/>
      <c r="K109" s="493"/>
      <c r="L109" s="493"/>
      <c r="M109" s="493"/>
    </row>
    <row r="110" spans="1:13" ht="38.25" customHeight="1">
      <c r="A110" s="89" t="s">
        <v>1229</v>
      </c>
      <c r="B110" s="493" t="str">
        <f>B11</f>
        <v>使用“格式”菜单中的“单元格”命令来设置包含数字的单元格的格式与使用DOLLAR函数直接设置数字的格式之间的区别在于：DOLLAR函数将结果转换为文本,而使用“单元格”命令设置格式的数字仍为数字.但可以继续在公式中使用由DOLLAR函数设置了格式的数字,因为Microsoft Excel在计算公式时会将以文本值输入的数字转换为数字.</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2" s="93" customFormat="1" ht="16.5" customHeight="1">
      <c r="A113" s="94" t="s">
        <v>1232</v>
      </c>
      <c r="B113" s="93" t="s">
        <v>1773</v>
      </c>
    </row>
    <row r="114" spans="1:12" ht="16.5" customHeight="1"/>
    <row r="115" spans="1:12" ht="16.5" customHeight="1"/>
    <row r="116" spans="1:12" ht="16.5" customHeight="1">
      <c r="B116" s="93" t="str">
        <f>B315</f>
        <v>Decimals参数定义</v>
      </c>
      <c r="C116" s="93"/>
      <c r="D116" s="93"/>
      <c r="E116" s="93"/>
      <c r="F116" s="93"/>
      <c r="G116" s="93"/>
      <c r="H116" s="93"/>
      <c r="I116" s="93"/>
      <c r="J116" s="93"/>
      <c r="K116" s="93"/>
      <c r="L116" s="93"/>
    </row>
    <row r="117" spans="1:12" ht="16.5" customHeight="1">
      <c r="B117" s="93" t="str">
        <f>B316</f>
        <v>指定四舍五入的位数(位)的位置.根据指定的数值的不同,四舍五入的位置变化如下.N表示指定数值.如果省略,则做"2"处理,在小数点的第3位四舍五入.</v>
      </c>
      <c r="C117" s="93"/>
      <c r="D117" s="93"/>
      <c r="E117" s="93"/>
      <c r="F117" s="93"/>
      <c r="G117" s="93"/>
      <c r="H117" s="93"/>
      <c r="I117" s="93"/>
      <c r="J117" s="93"/>
      <c r="K117" s="93"/>
      <c r="L117" s="93"/>
    </row>
    <row r="118" spans="1:12" ht="16.5" customHeight="1">
      <c r="B118" s="94"/>
      <c r="C118" s="94"/>
      <c r="D118" s="93"/>
      <c r="E118" s="93"/>
      <c r="F118" s="93"/>
      <c r="G118" s="93"/>
      <c r="H118" s="93"/>
      <c r="I118" s="93"/>
      <c r="J118" s="93"/>
      <c r="K118" s="93"/>
      <c r="L118" s="93"/>
    </row>
    <row r="119" spans="1:12" ht="16.5" customHeight="1">
      <c r="B119" s="94" t="str">
        <f t="shared" ref="B119:C122" si="1">B318</f>
        <v>N正数</v>
      </c>
      <c r="C119" s="93" t="str">
        <f t="shared" si="1"/>
        <v>在小数点第N+1位四舍五入</v>
      </c>
      <c r="D119" s="93"/>
      <c r="E119" s="93"/>
      <c r="F119" s="93"/>
      <c r="G119" s="93"/>
      <c r="H119" s="93"/>
      <c r="I119" s="93"/>
      <c r="J119" s="93"/>
      <c r="K119" s="93"/>
      <c r="L119" s="93"/>
    </row>
    <row r="120" spans="1:12" ht="16.5" customHeight="1">
      <c r="B120" s="94">
        <f t="shared" si="1"/>
        <v>0</v>
      </c>
      <c r="C120" s="93" t="str">
        <f t="shared" si="1"/>
        <v>在小数部分全部四舍五入</v>
      </c>
      <c r="D120" s="93"/>
      <c r="E120" s="93"/>
      <c r="F120" s="93"/>
      <c r="G120" s="93"/>
      <c r="H120" s="93"/>
      <c r="I120" s="93"/>
      <c r="J120" s="93"/>
      <c r="K120" s="93"/>
      <c r="L120" s="93"/>
    </row>
    <row r="121" spans="1:12" ht="16.5" customHeight="1">
      <c r="B121" s="94" t="str">
        <f t="shared" si="1"/>
        <v>-N</v>
      </c>
      <c r="C121" s="93" t="str">
        <f t="shared" si="1"/>
        <v>在整数第N位四舍五入</v>
      </c>
      <c r="D121" s="93"/>
      <c r="E121" s="93"/>
      <c r="F121" s="93"/>
      <c r="G121" s="93"/>
      <c r="H121" s="93"/>
      <c r="I121" s="93"/>
      <c r="J121" s="93"/>
      <c r="K121" s="93"/>
      <c r="L121" s="93"/>
    </row>
    <row r="122" spans="1:12" ht="16.5" customHeight="1">
      <c r="B122" s="94" t="str">
        <f t="shared" si="1"/>
        <v>省略</v>
      </c>
      <c r="C122" s="93" t="str">
        <f t="shared" si="1"/>
        <v>被看作"2",在小数点第3位四舍五入</v>
      </c>
      <c r="D122" s="93"/>
      <c r="E122" s="93"/>
      <c r="F122" s="93"/>
      <c r="G122" s="93"/>
      <c r="H122" s="93"/>
      <c r="I122" s="93"/>
      <c r="J122" s="93"/>
      <c r="K122" s="93"/>
      <c r="L122" s="93"/>
    </row>
    <row r="123" spans="1:12" ht="16.5" customHeight="1">
      <c r="B123" s="93"/>
      <c r="C123" s="93"/>
      <c r="D123" s="93"/>
      <c r="E123" s="93"/>
      <c r="F123" s="93"/>
      <c r="G123" s="93"/>
      <c r="H123" s="93"/>
      <c r="I123" s="93"/>
      <c r="J123" s="93"/>
      <c r="K123" s="93"/>
      <c r="L123" s="93"/>
    </row>
    <row r="124" spans="1:12" ht="16.5" customHeight="1">
      <c r="B124" s="93"/>
      <c r="C124" s="93"/>
      <c r="D124" s="93"/>
      <c r="E124" s="93"/>
      <c r="F124" s="93"/>
      <c r="G124" s="93"/>
      <c r="H124" s="93"/>
      <c r="I124" s="93"/>
      <c r="J124" s="93"/>
      <c r="K124" s="93"/>
      <c r="L124" s="93"/>
    </row>
    <row r="125" spans="1:12" ht="16.5" customHeight="1">
      <c r="B125" s="565" t="s">
        <v>3442</v>
      </c>
      <c r="C125" s="565"/>
      <c r="D125" s="565"/>
      <c r="E125" s="565"/>
      <c r="F125" s="93"/>
      <c r="G125" s="93"/>
      <c r="H125" s="93"/>
      <c r="I125" s="93"/>
      <c r="J125" s="93"/>
      <c r="K125" s="93"/>
      <c r="L125" s="93"/>
    </row>
    <row r="126" spans="1:12" ht="16.5" customHeight="1">
      <c r="B126" s="95" t="s">
        <v>1246</v>
      </c>
      <c r="C126" s="96" t="s">
        <v>1607</v>
      </c>
      <c r="D126" s="220" t="s">
        <v>3443</v>
      </c>
      <c r="E126" s="97" t="s">
        <v>1431</v>
      </c>
      <c r="F126" s="104" t="s">
        <v>1238</v>
      </c>
      <c r="G126" s="93"/>
      <c r="H126" s="104" t="s">
        <v>3444</v>
      </c>
      <c r="I126" s="93"/>
      <c r="J126" s="93"/>
      <c r="K126" s="93"/>
      <c r="L126" s="93"/>
    </row>
    <row r="127" spans="1:12" ht="16.5" customHeight="1">
      <c r="B127" s="111" t="s">
        <v>1375</v>
      </c>
      <c r="C127" s="100"/>
      <c r="D127" s="100" t="s">
        <v>1375</v>
      </c>
      <c r="E127" s="101"/>
      <c r="F127" s="93"/>
      <c r="G127" s="93"/>
      <c r="H127" s="158"/>
      <c r="I127" s="93"/>
      <c r="J127" s="93"/>
      <c r="K127" s="93"/>
      <c r="L127" s="93"/>
    </row>
    <row r="128" spans="1:12" ht="16.5" customHeight="1">
      <c r="B128" s="215" t="s">
        <v>1850</v>
      </c>
      <c r="C128" s="216" t="s">
        <v>1618</v>
      </c>
      <c r="D128" s="110">
        <v>18431</v>
      </c>
      <c r="E128" s="101" t="str">
        <f>USDOLLAR(D128,0)</f>
        <v>$18,431</v>
      </c>
      <c r="F128" s="108" t="s">
        <v>5864</v>
      </c>
      <c r="G128" s="93"/>
      <c r="H128" s="158" t="s">
        <v>3460</v>
      </c>
    </row>
    <row r="129" spans="1:8" ht="16.5" customHeight="1">
      <c r="B129" s="215" t="s">
        <v>1852</v>
      </c>
      <c r="C129" s="216" t="s">
        <v>1612</v>
      </c>
      <c r="D129" s="110">
        <v>18431</v>
      </c>
      <c r="E129" s="101" t="str">
        <f>USDOLLAR(D129,1)</f>
        <v>$18,431.0</v>
      </c>
      <c r="F129" s="108" t="s">
        <v>5865</v>
      </c>
      <c r="G129" s="93"/>
      <c r="H129" s="158" t="s">
        <v>3461</v>
      </c>
    </row>
    <row r="130" spans="1:8" ht="16.5" customHeight="1">
      <c r="B130" s="215" t="s">
        <v>1851</v>
      </c>
      <c r="C130" s="216" t="s">
        <v>1612</v>
      </c>
      <c r="D130" s="110">
        <v>18431</v>
      </c>
      <c r="E130" s="101" t="str">
        <f>USDOLLAR(D130,-1)</f>
        <v>$18,430</v>
      </c>
      <c r="F130" s="108" t="s">
        <v>5866</v>
      </c>
      <c r="G130" s="93"/>
      <c r="H130" s="108" t="s">
        <v>3462</v>
      </c>
    </row>
    <row r="131" spans="1:8" ht="16.5" customHeight="1">
      <c r="B131" s="215" t="s">
        <v>1849</v>
      </c>
      <c r="C131" s="216" t="s">
        <v>1618</v>
      </c>
      <c r="D131" s="110">
        <v>18431</v>
      </c>
      <c r="E131" s="101" t="str">
        <f>USDOLLAR(D131,)</f>
        <v>$18,431</v>
      </c>
      <c r="F131" s="108" t="s">
        <v>5867</v>
      </c>
      <c r="G131" s="93"/>
      <c r="H131" s="158" t="s">
        <v>3448</v>
      </c>
    </row>
    <row r="132" spans="1:8" ht="16.5" customHeight="1">
      <c r="B132" s="215" t="s">
        <v>1848</v>
      </c>
      <c r="C132" s="216" t="s">
        <v>1618</v>
      </c>
      <c r="D132" s="110">
        <v>18432</v>
      </c>
      <c r="E132" s="101" t="str">
        <f>USDOLLAR(D132)</f>
        <v>$18,432.00</v>
      </c>
      <c r="F132" s="108" t="s">
        <v>5868</v>
      </c>
      <c r="G132" s="93"/>
      <c r="H132" s="158" t="s">
        <v>3463</v>
      </c>
    </row>
    <row r="133" spans="1:8" ht="16.5" customHeight="1">
      <c r="B133" s="151" t="s">
        <v>1375</v>
      </c>
      <c r="C133" s="106"/>
      <c r="D133" s="106" t="s">
        <v>1375</v>
      </c>
      <c r="E133" s="107"/>
    </row>
    <row r="134" spans="1:8" ht="16.5" customHeight="1"/>
    <row r="135" spans="1:8" ht="16.5" customHeight="1"/>
    <row r="136" spans="1:8" ht="16.5" customHeight="1">
      <c r="A136" s="94" t="s">
        <v>1244</v>
      </c>
      <c r="B136" s="93" t="s">
        <v>1773</v>
      </c>
      <c r="E136" s="93"/>
      <c r="F136" s="158"/>
    </row>
    <row r="137" spans="1:8" ht="16.5" customHeight="1">
      <c r="B137" s="93"/>
      <c r="C137" s="93"/>
      <c r="D137" s="93"/>
      <c r="E137" s="93"/>
      <c r="F137" s="158"/>
      <c r="G137" s="93"/>
    </row>
    <row r="138" spans="1:8" ht="16.5" customHeight="1">
      <c r="B138" s="482" t="s">
        <v>2087</v>
      </c>
      <c r="C138" s="504"/>
      <c r="D138" s="504" t="s">
        <v>1431</v>
      </c>
      <c r="E138" s="505"/>
      <c r="F138" s="104" t="s">
        <v>1238</v>
      </c>
      <c r="G138" s="158"/>
      <c r="H138" s="158" t="s">
        <v>3450</v>
      </c>
    </row>
    <row r="139" spans="1:8" ht="16.5" customHeight="1">
      <c r="B139" s="654">
        <v>123456.12345</v>
      </c>
      <c r="C139" s="554"/>
      <c r="D139" s="554" t="str">
        <f>USDOLLAR(B139,0)</f>
        <v>$123,456</v>
      </c>
      <c r="E139" s="555"/>
      <c r="F139" s="108" t="s">
        <v>5869</v>
      </c>
      <c r="G139" s="158"/>
      <c r="H139" s="158" t="s">
        <v>3451</v>
      </c>
    </row>
    <row r="140" spans="1:8" ht="16.5" customHeight="1">
      <c r="B140" s="654">
        <v>123456.12345</v>
      </c>
      <c r="C140" s="554"/>
      <c r="D140" s="554" t="str">
        <f>USDOLLAR(B140,1)</f>
        <v>$123,456.1</v>
      </c>
      <c r="E140" s="555"/>
      <c r="F140" s="108" t="s">
        <v>5870</v>
      </c>
      <c r="G140" s="93"/>
      <c r="H140" s="158" t="s">
        <v>3452</v>
      </c>
    </row>
    <row r="141" spans="1:8" ht="16.5" customHeight="1">
      <c r="B141" s="654">
        <v>123456.12345</v>
      </c>
      <c r="C141" s="554"/>
      <c r="D141" s="554" t="str">
        <f>USDOLLAR(B141,2)</f>
        <v>$123,456.12</v>
      </c>
      <c r="E141" s="555"/>
      <c r="F141" s="108" t="s">
        <v>5871</v>
      </c>
      <c r="G141" s="93"/>
      <c r="H141" s="158" t="s">
        <v>3453</v>
      </c>
    </row>
    <row r="142" spans="1:8" ht="16.5" customHeight="1">
      <c r="B142" s="654">
        <v>123456.12345</v>
      </c>
      <c r="C142" s="554"/>
      <c r="D142" s="554" t="str">
        <f>USDOLLAR(B142,-1)</f>
        <v>$123,460</v>
      </c>
      <c r="E142" s="555"/>
      <c r="F142" s="108" t="s">
        <v>5872</v>
      </c>
      <c r="G142" s="93"/>
      <c r="H142" s="108" t="s">
        <v>3454</v>
      </c>
    </row>
    <row r="143" spans="1:8" ht="16.5" customHeight="1">
      <c r="B143" s="654">
        <v>123456.12345</v>
      </c>
      <c r="C143" s="554"/>
      <c r="D143" s="554" t="str">
        <f>USDOLLAR(B143,-2)</f>
        <v>$123,500</v>
      </c>
      <c r="E143" s="555"/>
      <c r="F143" s="108" t="s">
        <v>5873</v>
      </c>
      <c r="G143" s="93"/>
      <c r="H143" s="108" t="s">
        <v>3455</v>
      </c>
    </row>
    <row r="144" spans="1:8" ht="16.5" customHeight="1">
      <c r="B144" s="653">
        <v>123456.12345</v>
      </c>
      <c r="C144" s="556"/>
      <c r="D144" s="556" t="str">
        <f>USDOLLAR(B144)</f>
        <v>$123,456.12</v>
      </c>
      <c r="E144" s="557"/>
      <c r="F144" s="108" t="s">
        <v>5874</v>
      </c>
      <c r="G144" s="93"/>
      <c r="H144" s="158" t="s">
        <v>3456</v>
      </c>
    </row>
    <row r="145" s="4" customFormat="1" ht="16.5" customHeight="1"/>
    <row r="146" s="4" customFormat="1" ht="16.5" customHeight="1"/>
    <row r="200" spans="1:13" s="88" customFormat="1" ht="26.25" customHeight="1">
      <c r="A200" s="498" t="s">
        <v>367</v>
      </c>
      <c r="B200" s="498"/>
      <c r="C200" s="499"/>
      <c r="D200" s="87"/>
      <c r="E200" s="500" t="str">
        <f>HYPERLINK("#目录!A215","跳转回到目录页")</f>
        <v>跳转回到目录页</v>
      </c>
      <c r="F200" s="501"/>
    </row>
    <row r="201" spans="1:13" s="88" customFormat="1" ht="26.25" customHeight="1">
      <c r="A201" s="502" t="s">
        <v>1216</v>
      </c>
      <c r="B201" s="502"/>
      <c r="C201" s="503" t="s">
        <v>368</v>
      </c>
      <c r="D201" s="503"/>
      <c r="E201" s="503"/>
      <c r="F201" s="503"/>
      <c r="G201" s="503"/>
      <c r="H201" s="503"/>
      <c r="I201" s="503"/>
      <c r="J201" s="503"/>
      <c r="K201" s="503"/>
      <c r="L201" s="503"/>
      <c r="M201" s="503"/>
    </row>
    <row r="202" spans="1:13" s="88" customFormat="1" ht="16.5" customHeight="1">
      <c r="A202" s="496" t="s">
        <v>1217</v>
      </c>
      <c r="B202" s="496"/>
      <c r="C202" s="493" t="s">
        <v>3464</v>
      </c>
      <c r="D202" s="493"/>
      <c r="E202" s="493"/>
      <c r="F202" s="493"/>
      <c r="G202" s="493"/>
      <c r="H202" s="493"/>
      <c r="I202" s="493"/>
      <c r="J202" s="493"/>
      <c r="K202" s="493"/>
      <c r="L202" s="493"/>
      <c r="M202" s="493"/>
    </row>
    <row r="203" spans="1:13" s="88" customFormat="1" ht="16.5" customHeight="1">
      <c r="A203" s="496" t="s">
        <v>5786</v>
      </c>
      <c r="B203" s="496"/>
      <c r="C203" s="497" t="s">
        <v>3465</v>
      </c>
      <c r="D203" s="497"/>
      <c r="E203" s="497"/>
      <c r="F203" s="497"/>
      <c r="G203" s="497"/>
      <c r="H203" s="497"/>
      <c r="I203" s="497"/>
      <c r="J203" s="497"/>
      <c r="K203" s="497"/>
      <c r="L203" s="497"/>
      <c r="M203" s="497"/>
    </row>
    <row r="204" spans="1:13" s="88" customFormat="1" ht="16.5" customHeight="1">
      <c r="A204" s="496" t="s">
        <v>1220</v>
      </c>
      <c r="B204" s="496"/>
      <c r="C204" s="493" t="s">
        <v>3466</v>
      </c>
      <c r="D204" s="493"/>
      <c r="E204" s="493"/>
      <c r="F204" s="493"/>
      <c r="G204" s="493"/>
      <c r="H204" s="493"/>
      <c r="I204" s="493"/>
      <c r="J204" s="493"/>
      <c r="K204" s="493"/>
      <c r="L204" s="493"/>
      <c r="M204" s="493"/>
    </row>
    <row r="205" spans="1:13" s="88" customFormat="1" ht="16.5" customHeight="1">
      <c r="A205" s="496" t="s">
        <v>5785</v>
      </c>
      <c r="B205" s="496"/>
      <c r="C205" s="493" t="s">
        <v>3467</v>
      </c>
      <c r="D205" s="493"/>
      <c r="E205" s="493"/>
      <c r="F205" s="493"/>
      <c r="G205" s="493"/>
      <c r="H205" s="493"/>
      <c r="I205" s="493"/>
      <c r="J205" s="493"/>
      <c r="K205" s="493"/>
      <c r="L205" s="493"/>
      <c r="M205" s="493"/>
    </row>
    <row r="206" spans="1:13" s="88" customFormat="1" ht="16.5" customHeight="1">
      <c r="A206" s="89" t="s">
        <v>1223</v>
      </c>
      <c r="B206" s="92" t="s">
        <v>2200</v>
      </c>
      <c r="C206" s="493" t="s">
        <v>3468</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t="s">
        <v>3469</v>
      </c>
      <c r="C209" s="493"/>
      <c r="D209" s="493"/>
      <c r="E209" s="493"/>
      <c r="F209" s="493"/>
      <c r="G209" s="493"/>
      <c r="H209" s="493"/>
      <c r="I209" s="493"/>
      <c r="J209" s="493"/>
      <c r="K209" s="493"/>
      <c r="L209" s="493"/>
      <c r="M209" s="493"/>
    </row>
    <row r="210" spans="1:13" ht="16.5" customHeight="1">
      <c r="A210" s="89" t="s">
        <v>1229</v>
      </c>
      <c r="B210" s="493" t="s">
        <v>3470</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c r="B215" s="518" t="s">
        <v>3442</v>
      </c>
      <c r="C215" s="518"/>
      <c r="D215" s="518"/>
      <c r="E215" s="518"/>
      <c r="F215" s="518"/>
      <c r="G215" s="518"/>
    </row>
    <row r="216" spans="1:13" ht="16.5" customHeight="1">
      <c r="B216" s="95" t="s">
        <v>1246</v>
      </c>
      <c r="C216" s="96" t="s">
        <v>1607</v>
      </c>
      <c r="D216" s="220" t="s">
        <v>3443</v>
      </c>
      <c r="E216" s="504" t="s">
        <v>1431</v>
      </c>
      <c r="F216" s="504"/>
      <c r="G216" s="505"/>
      <c r="H216" s="104" t="s">
        <v>1238</v>
      </c>
    </row>
    <row r="217" spans="1:13" ht="16.5" customHeight="1">
      <c r="B217" s="111" t="s">
        <v>1375</v>
      </c>
      <c r="C217" s="100"/>
      <c r="D217" s="100" t="s">
        <v>1375</v>
      </c>
      <c r="E217" s="488"/>
      <c r="F217" s="488"/>
      <c r="G217" s="639"/>
      <c r="H217" s="93"/>
    </row>
    <row r="218" spans="1:13" ht="16.5" customHeight="1">
      <c r="B218" s="215" t="s">
        <v>1850</v>
      </c>
      <c r="C218" s="216" t="s">
        <v>1618</v>
      </c>
      <c r="D218" s="110">
        <v>18431</v>
      </c>
      <c r="E218" s="488" t="str">
        <f>BAHTTEXT(D218)</f>
        <v>หนึ่งหมื่นแปดพันสี่ร้อยสามสิบเอ็ดบาทถ้วน</v>
      </c>
      <c r="F218" s="488"/>
      <c r="G218" s="639"/>
      <c r="H218" s="108" t="s">
        <v>5875</v>
      </c>
      <c r="J218" s="158" t="s">
        <v>3471</v>
      </c>
    </row>
    <row r="219" spans="1:13" ht="16.5" customHeight="1">
      <c r="B219" s="215" t="s">
        <v>1852</v>
      </c>
      <c r="C219" s="216" t="s">
        <v>1612</v>
      </c>
      <c r="D219" s="110">
        <v>18431</v>
      </c>
      <c r="E219" s="488" t="str">
        <f>BAHTTEXT(18431)</f>
        <v>หนึ่งหมื่นแปดพันสี่ร้อยสามสิบเอ็ดบาทถ้วน</v>
      </c>
      <c r="F219" s="488"/>
      <c r="G219" s="639"/>
      <c r="H219" s="108" t="s">
        <v>5876</v>
      </c>
      <c r="J219" s="158" t="s">
        <v>3472</v>
      </c>
    </row>
    <row r="220" spans="1:13" ht="16.5" customHeight="1">
      <c r="B220" s="215" t="s">
        <v>1851</v>
      </c>
      <c r="C220" s="216" t="s">
        <v>1612</v>
      </c>
      <c r="D220" s="110">
        <v>16180</v>
      </c>
      <c r="E220" s="488" t="str">
        <f>BAHTTEXT(D220)</f>
        <v>หนึ่งหมื่นหกพันหนึ่งร้อยแปดสิบบาทถ้วน</v>
      </c>
      <c r="F220" s="488"/>
      <c r="G220" s="639"/>
      <c r="I220" s="158"/>
    </row>
    <row r="221" spans="1:13" ht="16.5" customHeight="1">
      <c r="B221" s="215" t="s">
        <v>1849</v>
      </c>
      <c r="C221" s="216" t="s">
        <v>1618</v>
      </c>
      <c r="D221" s="110">
        <v>23465</v>
      </c>
      <c r="E221" s="488" t="str">
        <f>BAHTTEXT(D221)</f>
        <v>สองหมื่นสามพันสี่ร้อยหกสิบห้าบาทถ้วน</v>
      </c>
      <c r="F221" s="488"/>
      <c r="G221" s="639"/>
      <c r="I221" s="158"/>
    </row>
    <row r="222" spans="1:13" ht="16.5" customHeight="1">
      <c r="B222" s="151" t="s">
        <v>1375</v>
      </c>
      <c r="C222" s="106"/>
      <c r="D222" s="106" t="s">
        <v>1375</v>
      </c>
      <c r="E222" s="489"/>
      <c r="F222" s="489"/>
      <c r="G222" s="640"/>
    </row>
    <row r="223" spans="1:13" ht="16.5" customHeight="1"/>
    <row r="224" spans="1:13" ht="16.5" customHeight="1"/>
    <row r="225" s="4" customFormat="1" ht="16.5" customHeight="1"/>
    <row r="300" spans="1:13" s="88" customFormat="1" ht="26.25" customHeight="1">
      <c r="A300" s="498" t="s">
        <v>369</v>
      </c>
      <c r="B300" s="498"/>
      <c r="C300" s="499"/>
      <c r="D300" s="87"/>
      <c r="E300" s="500" t="str">
        <f>HYPERLINK("#目录!A216","跳转回到目录页")</f>
        <v>跳转回到目录页</v>
      </c>
      <c r="F300" s="501"/>
    </row>
    <row r="301" spans="1:13" s="88" customFormat="1" ht="26.25" customHeight="1">
      <c r="A301" s="502" t="s">
        <v>1216</v>
      </c>
      <c r="B301" s="502"/>
      <c r="C301" s="503" t="s">
        <v>370</v>
      </c>
      <c r="D301" s="503"/>
      <c r="E301" s="503"/>
      <c r="F301" s="503"/>
      <c r="G301" s="503"/>
      <c r="H301" s="503"/>
      <c r="I301" s="503"/>
      <c r="J301" s="503"/>
      <c r="K301" s="503"/>
      <c r="L301" s="503"/>
      <c r="M301" s="503"/>
    </row>
    <row r="302" spans="1:13" s="88" customFormat="1" ht="16.5" customHeight="1">
      <c r="A302" s="496" t="s">
        <v>1217</v>
      </c>
      <c r="B302" s="496"/>
      <c r="C302" s="493" t="s">
        <v>3473</v>
      </c>
      <c r="D302" s="493"/>
      <c r="E302" s="493"/>
      <c r="F302" s="493"/>
      <c r="G302" s="493"/>
      <c r="H302" s="493"/>
      <c r="I302" s="493"/>
      <c r="J302" s="493"/>
      <c r="K302" s="493"/>
      <c r="L302" s="493"/>
      <c r="M302" s="493"/>
    </row>
    <row r="303" spans="1:13" s="88" customFormat="1" ht="16.5" customHeight="1">
      <c r="A303" s="496" t="s">
        <v>5786</v>
      </c>
      <c r="B303" s="496"/>
      <c r="C303" s="497" t="s">
        <v>3474</v>
      </c>
      <c r="D303" s="497"/>
      <c r="E303" s="497"/>
      <c r="F303" s="497"/>
      <c r="G303" s="497"/>
      <c r="H303" s="497"/>
      <c r="I303" s="497"/>
      <c r="J303" s="497"/>
      <c r="K303" s="497"/>
      <c r="L303" s="497"/>
      <c r="M303" s="497"/>
    </row>
    <row r="304" spans="1:13" s="88" customFormat="1" ht="16.5" customHeight="1">
      <c r="A304" s="496" t="s">
        <v>1220</v>
      </c>
      <c r="B304" s="496"/>
      <c r="C304" s="493" t="s">
        <v>3475</v>
      </c>
      <c r="D304" s="493"/>
      <c r="E304" s="493"/>
      <c r="F304" s="493"/>
      <c r="G304" s="493"/>
      <c r="H304" s="493"/>
      <c r="I304" s="493"/>
      <c r="J304" s="493"/>
      <c r="K304" s="493"/>
      <c r="L304" s="493"/>
      <c r="M304" s="493"/>
    </row>
    <row r="305" spans="1:13" s="88" customFormat="1" ht="16.5" customHeight="1">
      <c r="A305" s="496" t="s">
        <v>5785</v>
      </c>
      <c r="B305" s="496"/>
      <c r="C305" s="493" t="s">
        <v>3476</v>
      </c>
      <c r="D305" s="493"/>
      <c r="E305" s="493"/>
      <c r="F305" s="493"/>
      <c r="G305" s="493"/>
      <c r="H305" s="493"/>
      <c r="I305" s="493"/>
      <c r="J305" s="493"/>
      <c r="K305" s="493"/>
      <c r="L305" s="493"/>
      <c r="M305" s="493"/>
    </row>
    <row r="306" spans="1:13" s="88" customFormat="1" ht="16.5" customHeight="1">
      <c r="A306" s="89" t="s">
        <v>1223</v>
      </c>
      <c r="B306" s="92" t="s">
        <v>2552</v>
      </c>
      <c r="C306" s="493" t="s">
        <v>3477</v>
      </c>
      <c r="D306" s="493"/>
      <c r="E306" s="493"/>
      <c r="F306" s="493"/>
      <c r="G306" s="493"/>
      <c r="H306" s="493"/>
      <c r="I306" s="493"/>
      <c r="J306" s="493"/>
      <c r="K306" s="493"/>
      <c r="L306" s="493"/>
      <c r="M306" s="493"/>
    </row>
    <row r="307" spans="1:13" s="88" customFormat="1" ht="16.5" customHeight="1">
      <c r="A307" s="89"/>
      <c r="B307" s="92" t="s">
        <v>3429</v>
      </c>
      <c r="C307" s="493" t="s">
        <v>3478</v>
      </c>
      <c r="D307" s="493"/>
      <c r="E307" s="493"/>
      <c r="F307" s="493"/>
      <c r="G307" s="493"/>
      <c r="H307" s="493"/>
      <c r="I307" s="493"/>
      <c r="J307" s="493"/>
      <c r="K307" s="493"/>
      <c r="L307" s="493"/>
      <c r="M307" s="493"/>
    </row>
    <row r="308" spans="1:13" s="88" customFormat="1" ht="24.75" customHeight="1">
      <c r="A308" s="89"/>
      <c r="B308" s="90" t="s">
        <v>3479</v>
      </c>
      <c r="C308" s="493" t="s">
        <v>3480</v>
      </c>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75" customHeight="1">
      <c r="A310" s="89" t="s">
        <v>1229</v>
      </c>
      <c r="B310" s="493" t="s">
        <v>3481</v>
      </c>
      <c r="C310" s="493"/>
      <c r="D310" s="493"/>
      <c r="E310" s="493"/>
      <c r="F310" s="493"/>
      <c r="G310" s="493"/>
      <c r="H310" s="493"/>
      <c r="I310" s="493"/>
      <c r="J310" s="493"/>
      <c r="K310" s="493"/>
      <c r="L310" s="493"/>
      <c r="M310" s="49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c r="B315" s="93" t="s">
        <v>3433</v>
      </c>
      <c r="C315" s="93"/>
      <c r="D315" s="93"/>
      <c r="E315" s="93"/>
      <c r="F315" s="93"/>
      <c r="G315" s="93"/>
      <c r="H315" s="93"/>
      <c r="I315" s="93"/>
      <c r="J315" s="93"/>
      <c r="K315" s="93"/>
      <c r="L315" s="93"/>
    </row>
    <row r="316" spans="1:13" ht="16.5" customHeight="1">
      <c r="B316" s="93" t="s">
        <v>3434</v>
      </c>
      <c r="C316" s="93"/>
      <c r="D316" s="93"/>
      <c r="E316" s="93"/>
      <c r="F316" s="93"/>
      <c r="G316" s="93"/>
      <c r="H316" s="93"/>
      <c r="I316" s="93"/>
      <c r="J316" s="93"/>
      <c r="K316" s="93"/>
      <c r="L316" s="93"/>
    </row>
    <row r="317" spans="1:13" ht="16.5" customHeight="1">
      <c r="E317" s="93"/>
      <c r="F317" s="93"/>
      <c r="G317" s="93"/>
      <c r="H317" s="93"/>
      <c r="I317" s="93"/>
      <c r="J317" s="93"/>
      <c r="K317" s="93"/>
      <c r="L317" s="93"/>
    </row>
    <row r="318" spans="1:13" ht="16.5" customHeight="1">
      <c r="B318" s="94" t="s">
        <v>3435</v>
      </c>
      <c r="C318" s="93" t="s">
        <v>3436</v>
      </c>
      <c r="D318" s="93"/>
      <c r="E318" s="93"/>
      <c r="F318" s="93"/>
      <c r="G318" s="143"/>
      <c r="H318" s="143"/>
      <c r="I318" s="93"/>
      <c r="J318" s="93"/>
      <c r="K318" s="93"/>
      <c r="L318" s="93"/>
    </row>
    <row r="319" spans="1:13" ht="16.5" customHeight="1">
      <c r="B319" s="94">
        <v>0</v>
      </c>
      <c r="C319" s="93" t="s">
        <v>3437</v>
      </c>
      <c r="D319" s="93"/>
      <c r="E319" s="93"/>
      <c r="F319" s="93"/>
      <c r="G319" s="143"/>
      <c r="H319" s="143"/>
      <c r="I319" s="93"/>
      <c r="J319" s="93"/>
      <c r="K319" s="93"/>
      <c r="L319" s="93"/>
    </row>
    <row r="320" spans="1:13" ht="16.5" customHeight="1">
      <c r="B320" s="222" t="s">
        <v>3438</v>
      </c>
      <c r="C320" s="93" t="s">
        <v>3439</v>
      </c>
      <c r="D320" s="93"/>
      <c r="E320" s="93"/>
      <c r="F320" s="93"/>
      <c r="G320" s="143"/>
      <c r="H320" s="143"/>
      <c r="I320" s="93"/>
      <c r="J320" s="93"/>
      <c r="K320" s="93"/>
      <c r="L320" s="93"/>
    </row>
    <row r="321" spans="2:12" ht="16.5" customHeight="1">
      <c r="B321" s="94" t="s">
        <v>3440</v>
      </c>
      <c r="C321" s="93" t="s">
        <v>3441</v>
      </c>
      <c r="D321" s="93"/>
      <c r="E321" s="93"/>
      <c r="F321" s="93"/>
      <c r="G321" s="143"/>
      <c r="H321" s="143"/>
      <c r="I321" s="93"/>
      <c r="J321" s="93"/>
      <c r="K321" s="93"/>
      <c r="L321" s="93"/>
    </row>
    <row r="322" spans="2:12" ht="16.5" customHeight="1">
      <c r="B322" s="93"/>
      <c r="C322" s="93"/>
      <c r="D322" s="93"/>
      <c r="E322" s="93"/>
      <c r="F322" s="93"/>
      <c r="G322" s="143"/>
      <c r="H322" s="143"/>
      <c r="I322" s="93"/>
      <c r="J322" s="93"/>
      <c r="K322" s="93"/>
      <c r="L322" s="93"/>
    </row>
    <row r="323" spans="2:12" ht="16.5" customHeight="1">
      <c r="B323" s="93" t="s">
        <v>3482</v>
      </c>
      <c r="C323" s="93"/>
      <c r="D323" s="93"/>
      <c r="E323" s="93"/>
      <c r="F323" s="93"/>
      <c r="G323" s="143"/>
      <c r="H323" s="143"/>
      <c r="I323" s="93"/>
      <c r="J323" s="93"/>
      <c r="K323" s="93"/>
      <c r="L323" s="93"/>
    </row>
    <row r="324" spans="2:12" ht="16.5" customHeight="1">
      <c r="B324" s="93" t="s">
        <v>3483</v>
      </c>
      <c r="C324" s="93"/>
      <c r="D324" s="93"/>
      <c r="E324" s="93"/>
      <c r="F324" s="93"/>
      <c r="G324" s="143"/>
      <c r="H324" s="143"/>
      <c r="I324" s="93"/>
      <c r="J324" s="93"/>
      <c r="K324" s="93"/>
      <c r="L324" s="93"/>
    </row>
    <row r="325" spans="2:12" ht="16.5" customHeight="1">
      <c r="B325" s="93" t="b">
        <v>1</v>
      </c>
      <c r="C325" s="93" t="s">
        <v>3484</v>
      </c>
      <c r="D325" s="93"/>
      <c r="E325" s="93"/>
      <c r="F325" s="93"/>
      <c r="G325" s="143"/>
      <c r="H325" s="143"/>
      <c r="I325" s="93"/>
      <c r="J325" s="93"/>
      <c r="K325" s="93"/>
      <c r="L325" s="93"/>
    </row>
    <row r="326" spans="2:12" ht="16.5" customHeight="1">
      <c r="B326" s="93" t="b">
        <v>0</v>
      </c>
      <c r="C326" s="93" t="s">
        <v>3485</v>
      </c>
      <c r="D326" s="93"/>
      <c r="E326" s="93"/>
      <c r="F326" s="93"/>
      <c r="G326" s="143"/>
      <c r="H326" s="143"/>
      <c r="I326" s="93"/>
      <c r="J326" s="93"/>
      <c r="K326" s="93"/>
      <c r="L326" s="93"/>
    </row>
    <row r="327" spans="2:12" ht="16.5" customHeight="1">
      <c r="B327" s="93"/>
      <c r="D327" s="93"/>
      <c r="E327" s="93"/>
      <c r="F327" s="93"/>
      <c r="G327" s="143"/>
      <c r="H327" s="143"/>
      <c r="I327" s="93"/>
      <c r="J327" s="93"/>
      <c r="K327" s="93"/>
      <c r="L327" s="93"/>
    </row>
    <row r="328" spans="2:12" ht="16.5" customHeight="1">
      <c r="B328" s="93"/>
      <c r="C328" s="93"/>
      <c r="D328" s="93"/>
      <c r="E328" s="93"/>
      <c r="F328" s="93"/>
      <c r="G328" s="143"/>
      <c r="H328" s="143"/>
      <c r="I328" s="93"/>
      <c r="J328" s="93"/>
      <c r="K328" s="93"/>
      <c r="L328" s="93"/>
    </row>
    <row r="329" spans="2:12" ht="16.5" customHeight="1">
      <c r="B329" s="565" t="s">
        <v>3442</v>
      </c>
      <c r="C329" s="565"/>
      <c r="D329" s="565"/>
      <c r="E329" s="565"/>
      <c r="F329" s="93"/>
    </row>
    <row r="330" spans="2:12" ht="16.5" customHeight="1">
      <c r="B330" s="95" t="s">
        <v>1246</v>
      </c>
      <c r="C330" s="96" t="s">
        <v>1607</v>
      </c>
      <c r="D330" s="220" t="s">
        <v>3443</v>
      </c>
      <c r="E330" s="97" t="s">
        <v>1431</v>
      </c>
      <c r="F330" s="104" t="s">
        <v>1238</v>
      </c>
    </row>
    <row r="331" spans="2:12" ht="16.5" customHeight="1">
      <c r="B331" s="111" t="s">
        <v>1375</v>
      </c>
      <c r="C331" s="100"/>
      <c r="D331" s="100" t="s">
        <v>1375</v>
      </c>
      <c r="E331" s="223"/>
      <c r="F331" s="93"/>
    </row>
    <row r="332" spans="2:12" ht="16.5" customHeight="1">
      <c r="B332" s="215" t="s">
        <v>1850</v>
      </c>
      <c r="C332" s="216" t="s">
        <v>1618</v>
      </c>
      <c r="D332" s="110">
        <v>18431</v>
      </c>
      <c r="E332" s="101" t="str">
        <f>FIXED(D332,0,FALSE)</f>
        <v>18,431</v>
      </c>
      <c r="F332" s="108" t="s">
        <v>5877</v>
      </c>
      <c r="H332" s="93" t="s">
        <v>3486</v>
      </c>
    </row>
    <row r="333" spans="2:12" ht="16.5" customHeight="1">
      <c r="B333" s="215" t="s">
        <v>1852</v>
      </c>
      <c r="C333" s="216" t="s">
        <v>1612</v>
      </c>
      <c r="D333" s="110">
        <v>16246</v>
      </c>
      <c r="E333" s="101" t="str">
        <f>FIXED(D333,0,TRUE)</f>
        <v>16246</v>
      </c>
      <c r="F333" s="108" t="s">
        <v>5878</v>
      </c>
      <c r="H333" s="93" t="s">
        <v>3487</v>
      </c>
    </row>
    <row r="334" spans="2:12" ht="16.5" customHeight="1">
      <c r="B334" s="215" t="s">
        <v>1851</v>
      </c>
      <c r="C334" s="216" t="s">
        <v>1612</v>
      </c>
      <c r="D334" s="110">
        <v>16180</v>
      </c>
      <c r="E334" s="101" t="str">
        <f>FIXED(D334,0,0)</f>
        <v>16,180</v>
      </c>
      <c r="F334" s="108" t="s">
        <v>5879</v>
      </c>
      <c r="H334" s="93" t="s">
        <v>3488</v>
      </c>
      <c r="I334" s="93"/>
    </row>
    <row r="335" spans="2:12" ht="16.5" customHeight="1">
      <c r="B335" s="215" t="s">
        <v>1849</v>
      </c>
      <c r="C335" s="216" t="s">
        <v>1618</v>
      </c>
      <c r="D335" s="110">
        <v>23465</v>
      </c>
      <c r="E335" s="101" t="str">
        <f>FIXED(D335,0,1)</f>
        <v>23465</v>
      </c>
      <c r="F335" s="108" t="s">
        <v>5880</v>
      </c>
      <c r="H335" s="93" t="s">
        <v>3489</v>
      </c>
      <c r="I335" s="93"/>
    </row>
    <row r="336" spans="2:12" ht="16.5" customHeight="1">
      <c r="B336" s="151" t="s">
        <v>1375</v>
      </c>
      <c r="C336" s="106"/>
      <c r="D336" s="106" t="s">
        <v>1375</v>
      </c>
      <c r="E336" s="107"/>
      <c r="F336" s="158"/>
      <c r="H336" s="93"/>
      <c r="I336" s="93"/>
    </row>
    <row r="337" spans="1:11" ht="16.5" customHeight="1">
      <c r="E337" s="93"/>
      <c r="F337" s="158"/>
      <c r="H337" s="93"/>
      <c r="I337" s="93"/>
    </row>
    <row r="338" spans="1:11" ht="16.5" customHeight="1">
      <c r="E338" s="93"/>
      <c r="F338" s="158"/>
      <c r="H338" s="93"/>
      <c r="I338" s="93"/>
    </row>
    <row r="339" spans="1:11" ht="16.5" customHeight="1">
      <c r="A339" s="94" t="s">
        <v>1244</v>
      </c>
      <c r="B339" s="93" t="s">
        <v>1773</v>
      </c>
      <c r="E339" s="93"/>
      <c r="F339" s="158"/>
    </row>
    <row r="340" spans="1:11" ht="16.5" customHeight="1">
      <c r="B340" s="93"/>
      <c r="C340" s="93"/>
      <c r="D340" s="93"/>
      <c r="E340" s="93"/>
      <c r="F340" s="158"/>
      <c r="G340" s="93"/>
      <c r="H340" s="93"/>
      <c r="I340" s="93"/>
      <c r="J340" s="93"/>
      <c r="K340" s="93"/>
    </row>
    <row r="341" spans="1:11" ht="16.5" customHeight="1">
      <c r="B341" s="482" t="s">
        <v>2087</v>
      </c>
      <c r="C341" s="504"/>
      <c r="D341" s="97" t="s">
        <v>1431</v>
      </c>
      <c r="E341" s="104" t="s">
        <v>1238</v>
      </c>
      <c r="F341" s="158"/>
      <c r="G341" s="158" t="s">
        <v>3450</v>
      </c>
      <c r="H341" s="93"/>
      <c r="I341" s="93"/>
      <c r="J341" s="93"/>
      <c r="K341" s="93"/>
    </row>
    <row r="342" spans="1:11" ht="16.5" customHeight="1">
      <c r="B342" s="654">
        <v>123456.12345</v>
      </c>
      <c r="C342" s="554"/>
      <c r="D342" s="101" t="str">
        <f>FIXED(B342,0,0)</f>
        <v>123,456</v>
      </c>
      <c r="E342" s="108" t="s">
        <v>5881</v>
      </c>
      <c r="F342" s="158"/>
      <c r="G342" s="158" t="s">
        <v>3451</v>
      </c>
      <c r="H342" s="93"/>
      <c r="I342" s="93"/>
      <c r="J342" s="93"/>
      <c r="K342" s="93"/>
    </row>
    <row r="343" spans="1:11" ht="16.5" customHeight="1">
      <c r="B343" s="654">
        <v>123456.12345</v>
      </c>
      <c r="C343" s="554"/>
      <c r="D343" s="101" t="str">
        <f>FIXED(B343,1,0)</f>
        <v>123,456.1</v>
      </c>
      <c r="E343" s="108" t="s">
        <v>5882</v>
      </c>
      <c r="F343" s="93"/>
      <c r="G343" s="158" t="s">
        <v>3452</v>
      </c>
      <c r="H343" s="93"/>
      <c r="I343" s="93"/>
      <c r="J343" s="93"/>
      <c r="K343" s="93"/>
    </row>
    <row r="344" spans="1:11" ht="16.5" customHeight="1">
      <c r="B344" s="654">
        <v>123456.12345</v>
      </c>
      <c r="C344" s="554"/>
      <c r="D344" s="101" t="str">
        <f>FIXED(B344,2,0)</f>
        <v>123,456.12</v>
      </c>
      <c r="E344" s="108" t="s">
        <v>5883</v>
      </c>
      <c r="F344" s="93"/>
      <c r="G344" s="158" t="s">
        <v>3453</v>
      </c>
      <c r="H344" s="93"/>
      <c r="I344" s="93"/>
      <c r="J344" s="93"/>
      <c r="K344" s="93"/>
    </row>
    <row r="345" spans="1:11" ht="16.5" customHeight="1">
      <c r="B345" s="654">
        <v>123456.12345</v>
      </c>
      <c r="C345" s="554"/>
      <c r="D345" s="101" t="str">
        <f>FIXED(B345,-1,0)</f>
        <v>123,460</v>
      </c>
      <c r="E345" s="108" t="s">
        <v>5884</v>
      </c>
      <c r="F345" s="93"/>
      <c r="G345" s="108" t="s">
        <v>3454</v>
      </c>
      <c r="H345" s="93"/>
      <c r="I345" s="93"/>
      <c r="J345" s="93"/>
      <c r="K345" s="93"/>
    </row>
    <row r="346" spans="1:11" ht="16.5" customHeight="1">
      <c r="B346" s="654">
        <v>123456.12345</v>
      </c>
      <c r="C346" s="554"/>
      <c r="D346" s="101" t="str">
        <f>FIXED(B346,-2,0)</f>
        <v>123,500</v>
      </c>
      <c r="E346" s="108" t="s">
        <v>5885</v>
      </c>
      <c r="F346" s="93"/>
      <c r="G346" s="108" t="s">
        <v>3455</v>
      </c>
      <c r="H346" s="93"/>
      <c r="I346" s="93"/>
      <c r="J346" s="93"/>
      <c r="K346" s="93"/>
    </row>
    <row r="347" spans="1:11" ht="16.5" customHeight="1">
      <c r="B347" s="653">
        <v>123456.12345</v>
      </c>
      <c r="C347" s="556"/>
      <c r="D347" s="107" t="str">
        <f>FIXED(B347,1,1)</f>
        <v>123456.1</v>
      </c>
      <c r="E347" s="108" t="s">
        <v>5886</v>
      </c>
      <c r="F347" s="93"/>
      <c r="G347" s="158" t="s">
        <v>3490</v>
      </c>
      <c r="H347" s="93"/>
      <c r="I347" s="93"/>
      <c r="J347" s="93"/>
      <c r="K347" s="93"/>
    </row>
    <row r="348" spans="1:11" ht="16.5" customHeight="1">
      <c r="B348" s="93"/>
      <c r="C348" s="93"/>
      <c r="D348" s="93"/>
      <c r="E348" s="93"/>
      <c r="F348" s="93"/>
      <c r="G348" s="93"/>
      <c r="H348" s="93"/>
      <c r="I348" s="93"/>
      <c r="J348" s="93"/>
      <c r="K348" s="93"/>
    </row>
    <row r="349" spans="1:11">
      <c r="B349" s="93"/>
      <c r="C349" s="93"/>
      <c r="D349" s="93"/>
      <c r="E349" s="93"/>
      <c r="F349" s="93"/>
      <c r="G349" s="93"/>
      <c r="H349" s="93"/>
      <c r="I349" s="93"/>
      <c r="J349" s="93"/>
      <c r="K349" s="93"/>
    </row>
    <row r="350" spans="1:11">
      <c r="B350" s="93"/>
      <c r="C350" s="93"/>
      <c r="D350" s="93"/>
      <c r="E350" s="93"/>
      <c r="F350" s="93"/>
      <c r="G350" s="93"/>
      <c r="H350" s="93"/>
      <c r="I350" s="93"/>
      <c r="J350" s="93"/>
      <c r="K350" s="93"/>
    </row>
    <row r="351" spans="1:11">
      <c r="B351" s="93"/>
      <c r="C351" s="93"/>
      <c r="D351" s="93"/>
      <c r="E351" s="93"/>
      <c r="F351" s="93"/>
      <c r="G351" s="93"/>
      <c r="H351" s="93"/>
      <c r="I351" s="93"/>
      <c r="J351" s="93"/>
      <c r="K351" s="93"/>
    </row>
    <row r="352" spans="1:11">
      <c r="B352" s="93"/>
      <c r="C352" s="93"/>
      <c r="D352" s="93"/>
      <c r="E352" s="93"/>
      <c r="F352" s="93"/>
      <c r="G352" s="93"/>
      <c r="H352" s="93"/>
      <c r="I352" s="93"/>
      <c r="J352" s="93"/>
      <c r="K352" s="93"/>
    </row>
    <row r="353" spans="2:11">
      <c r="B353" s="93"/>
      <c r="C353" s="93"/>
      <c r="D353" s="93"/>
      <c r="E353" s="93"/>
      <c r="F353" s="93"/>
      <c r="G353" s="93"/>
      <c r="H353" s="93"/>
      <c r="I353" s="93"/>
      <c r="J353" s="93"/>
      <c r="K353" s="93"/>
    </row>
    <row r="354" spans="2:11">
      <c r="B354" s="93"/>
      <c r="C354" s="93"/>
      <c r="D354" s="93"/>
      <c r="E354" s="93"/>
      <c r="F354" s="93"/>
      <c r="G354" s="93"/>
      <c r="H354" s="93"/>
      <c r="I354" s="93"/>
      <c r="J354" s="93"/>
      <c r="K354" s="93"/>
    </row>
    <row r="400" spans="1:6" s="88" customFormat="1" ht="26.25" customHeight="1">
      <c r="A400" s="498" t="s">
        <v>374</v>
      </c>
      <c r="B400" s="498"/>
      <c r="C400" s="499"/>
      <c r="D400" s="87"/>
      <c r="E400" s="500" t="str">
        <f>HYPERLINK("#目录!A219","跳转回到目录页")</f>
        <v>跳转回到目录页</v>
      </c>
      <c r="F400" s="501"/>
    </row>
    <row r="401" spans="1:13" s="88" customFormat="1" ht="26.25" customHeight="1">
      <c r="A401" s="502" t="s">
        <v>1216</v>
      </c>
      <c r="B401" s="502"/>
      <c r="C401" s="503" t="s">
        <v>375</v>
      </c>
      <c r="D401" s="503"/>
      <c r="E401" s="503"/>
      <c r="F401" s="503"/>
      <c r="G401" s="503"/>
      <c r="H401" s="503"/>
      <c r="I401" s="503"/>
      <c r="J401" s="503"/>
      <c r="K401" s="503"/>
      <c r="L401" s="503"/>
      <c r="M401" s="503"/>
    </row>
    <row r="402" spans="1:13" s="88" customFormat="1" ht="16.5" customHeight="1">
      <c r="A402" s="496" t="s">
        <v>1217</v>
      </c>
      <c r="B402" s="496"/>
      <c r="C402" s="493" t="s">
        <v>3491</v>
      </c>
      <c r="D402" s="493"/>
      <c r="E402" s="493"/>
      <c r="F402" s="493"/>
      <c r="G402" s="493"/>
      <c r="H402" s="493"/>
      <c r="I402" s="493"/>
      <c r="J402" s="493"/>
      <c r="K402" s="493"/>
      <c r="L402" s="493"/>
      <c r="M402" s="493"/>
    </row>
    <row r="403" spans="1:13" s="88" customFormat="1" ht="16.5" customHeight="1">
      <c r="A403" s="496" t="s">
        <v>5786</v>
      </c>
      <c r="B403" s="496"/>
      <c r="C403" s="497" t="s">
        <v>3492</v>
      </c>
      <c r="D403" s="497"/>
      <c r="E403" s="497"/>
      <c r="F403" s="497"/>
      <c r="G403" s="497"/>
      <c r="H403" s="497"/>
      <c r="I403" s="497"/>
      <c r="J403" s="497"/>
      <c r="K403" s="497"/>
      <c r="L403" s="497"/>
      <c r="M403" s="497"/>
    </row>
    <row r="404" spans="1:13" s="88" customFormat="1" ht="16.5" customHeight="1">
      <c r="A404" s="496" t="s">
        <v>1220</v>
      </c>
      <c r="B404" s="496"/>
      <c r="C404" s="493" t="s">
        <v>3493</v>
      </c>
      <c r="D404" s="493"/>
      <c r="E404" s="493"/>
      <c r="F404" s="493"/>
      <c r="G404" s="493"/>
      <c r="H404" s="493"/>
      <c r="I404" s="493"/>
      <c r="J404" s="493"/>
      <c r="K404" s="493"/>
      <c r="L404" s="493"/>
      <c r="M404" s="493"/>
    </row>
    <row r="405" spans="1:13" s="88" customFormat="1" ht="16.5" customHeight="1">
      <c r="A405" s="496" t="s">
        <v>5785</v>
      </c>
      <c r="B405" s="496"/>
      <c r="C405" s="493" t="s">
        <v>3494</v>
      </c>
      <c r="D405" s="493"/>
      <c r="E405" s="493"/>
      <c r="F405" s="493"/>
      <c r="G405" s="493"/>
      <c r="H405" s="493"/>
      <c r="I405" s="493"/>
      <c r="J405" s="493"/>
      <c r="K405" s="493"/>
      <c r="L405" s="493"/>
      <c r="M405" s="493"/>
    </row>
    <row r="406" spans="1:13" s="88" customFormat="1" ht="16.5" customHeight="1">
      <c r="A406" s="89" t="s">
        <v>1223</v>
      </c>
      <c r="B406" s="92" t="s">
        <v>2200</v>
      </c>
      <c r="C406" s="493" t="s">
        <v>3495</v>
      </c>
      <c r="D406" s="493"/>
      <c r="E406" s="493"/>
      <c r="F406" s="493"/>
      <c r="G406" s="493"/>
      <c r="H406" s="493"/>
      <c r="I406" s="493"/>
      <c r="J406" s="493"/>
      <c r="K406" s="493"/>
      <c r="L406" s="493"/>
      <c r="M406" s="493"/>
    </row>
    <row r="407" spans="1:13" s="88" customFormat="1" ht="16.5" customHeight="1">
      <c r="A407" s="89"/>
      <c r="B407" s="92" t="s">
        <v>3496</v>
      </c>
      <c r="C407" s="493" t="s">
        <v>3497</v>
      </c>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16.5" customHeight="1">
      <c r="A409" s="89" t="s">
        <v>1228</v>
      </c>
      <c r="B409" s="493" t="s">
        <v>3498</v>
      </c>
      <c r="C409" s="493"/>
      <c r="D409" s="493"/>
      <c r="E409" s="493"/>
      <c r="F409" s="493"/>
      <c r="G409" s="493"/>
      <c r="H409" s="493"/>
      <c r="I409" s="493"/>
      <c r="J409" s="493"/>
      <c r="K409" s="493"/>
      <c r="L409" s="493"/>
      <c r="M409" s="493"/>
    </row>
    <row r="410" spans="1:13" ht="24.75" customHeight="1">
      <c r="A410" s="89" t="s">
        <v>1229</v>
      </c>
      <c r="B410" s="493" t="s">
        <v>3499</v>
      </c>
      <c r="C410" s="493"/>
      <c r="D410" s="493"/>
      <c r="E410" s="493"/>
      <c r="F410" s="493"/>
      <c r="G410" s="493"/>
      <c r="H410" s="493"/>
      <c r="I410" s="493"/>
      <c r="J410" s="493"/>
      <c r="K410" s="493"/>
      <c r="L410" s="493"/>
      <c r="M410" s="493"/>
    </row>
    <row r="411" spans="1:13" ht="21" customHeight="1">
      <c r="B411" s="494" t="s">
        <v>2863</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4" spans="1:13" ht="16.5" customHeight="1">
      <c r="A414" s="93"/>
      <c r="B414" s="93"/>
      <c r="C414" s="93"/>
      <c r="D414" s="93"/>
      <c r="E414" s="93"/>
      <c r="F414" s="93"/>
      <c r="G414" s="93"/>
      <c r="H414" s="93"/>
      <c r="I414" s="93"/>
      <c r="J414" s="93"/>
      <c r="K414" s="93"/>
      <c r="L414" s="93"/>
    </row>
    <row r="415" spans="1:13" ht="16.5" customHeight="1">
      <c r="A415" s="93"/>
      <c r="B415" s="565" t="s">
        <v>3500</v>
      </c>
      <c r="C415" s="565"/>
      <c r="D415" s="565"/>
      <c r="E415" s="565"/>
      <c r="F415" s="565"/>
      <c r="G415" s="565"/>
      <c r="H415" s="565"/>
      <c r="I415" s="93"/>
      <c r="J415" s="93"/>
      <c r="K415" s="93"/>
      <c r="L415" s="93"/>
    </row>
    <row r="416" spans="1:13" ht="16.5" customHeight="1">
      <c r="A416" s="93"/>
      <c r="B416" s="187"/>
      <c r="C416" s="188" t="s">
        <v>3501</v>
      </c>
      <c r="D416" s="224" t="s">
        <v>3502</v>
      </c>
      <c r="E416" s="568" t="s">
        <v>3503</v>
      </c>
      <c r="F416" s="506"/>
      <c r="G416" s="506"/>
      <c r="H416" s="481"/>
      <c r="I416" s="93"/>
      <c r="J416" s="93"/>
      <c r="K416" s="93"/>
      <c r="L416" s="93"/>
    </row>
    <row r="417" spans="1:12" ht="16.5" customHeight="1">
      <c r="A417" s="93"/>
      <c r="B417" s="594" t="s">
        <v>3504</v>
      </c>
      <c r="C417" s="595" t="s">
        <v>3505</v>
      </c>
      <c r="D417" s="100" t="s">
        <v>3506</v>
      </c>
      <c r="E417" s="225" t="s">
        <v>3507</v>
      </c>
      <c r="F417" s="225" t="s">
        <v>3508</v>
      </c>
      <c r="G417" s="225" t="s">
        <v>3509</v>
      </c>
      <c r="H417" s="112" t="s">
        <v>1521</v>
      </c>
      <c r="I417" s="93"/>
      <c r="J417" s="93"/>
      <c r="K417" s="93"/>
      <c r="L417" s="93"/>
    </row>
    <row r="418" spans="1:12" ht="16.5" customHeight="1">
      <c r="A418" s="93"/>
      <c r="B418" s="594"/>
      <c r="C418" s="595"/>
      <c r="D418" s="100"/>
      <c r="E418" s="110">
        <v>400</v>
      </c>
      <c r="F418" s="110">
        <v>90</v>
      </c>
      <c r="G418" s="110">
        <v>9</v>
      </c>
      <c r="H418" s="101">
        <v>499</v>
      </c>
      <c r="I418" s="93"/>
      <c r="J418" s="93"/>
      <c r="K418" s="93"/>
      <c r="L418" s="93"/>
    </row>
    <row r="419" spans="1:12" ht="16.5" customHeight="1">
      <c r="A419" s="93"/>
      <c r="B419" s="594" t="s">
        <v>3510</v>
      </c>
      <c r="C419" s="595">
        <v>1</v>
      </c>
      <c r="D419" s="100" t="s">
        <v>3511</v>
      </c>
      <c r="E419" s="225" t="s">
        <v>3512</v>
      </c>
      <c r="F419" s="225" t="s">
        <v>3513</v>
      </c>
      <c r="G419" s="225" t="s">
        <v>3514</v>
      </c>
      <c r="H419" s="112" t="s">
        <v>1521</v>
      </c>
      <c r="I419" s="93"/>
      <c r="J419" s="93"/>
      <c r="K419" s="93"/>
      <c r="L419" s="93"/>
    </row>
    <row r="420" spans="1:12" ht="16.5" customHeight="1">
      <c r="A420" s="93"/>
      <c r="B420" s="594"/>
      <c r="C420" s="595"/>
      <c r="D420" s="100"/>
      <c r="E420" s="110">
        <v>450</v>
      </c>
      <c r="F420" s="110">
        <v>45</v>
      </c>
      <c r="G420" s="110">
        <v>4</v>
      </c>
      <c r="H420" s="101">
        <v>499</v>
      </c>
      <c r="I420" s="93"/>
      <c r="J420" s="93"/>
      <c r="K420" s="93"/>
      <c r="L420" s="93"/>
    </row>
    <row r="421" spans="1:12" ht="16.5" customHeight="1">
      <c r="A421" s="93"/>
      <c r="B421" s="594" t="s">
        <v>3515</v>
      </c>
      <c r="C421" s="595">
        <v>2</v>
      </c>
      <c r="D421" s="100" t="s">
        <v>3516</v>
      </c>
      <c r="E421" s="225" t="s">
        <v>3517</v>
      </c>
      <c r="F421" s="225" t="s">
        <v>3509</v>
      </c>
      <c r="G421" s="225"/>
      <c r="H421" s="112" t="s">
        <v>1521</v>
      </c>
      <c r="I421" s="93"/>
      <c r="J421" s="93"/>
      <c r="K421" s="93"/>
      <c r="L421" s="93"/>
    </row>
    <row r="422" spans="1:12" ht="16.5" customHeight="1">
      <c r="A422" s="93"/>
      <c r="B422" s="594"/>
      <c r="C422" s="595"/>
      <c r="D422" s="100"/>
      <c r="E422" s="110">
        <v>490</v>
      </c>
      <c r="F422" s="100">
        <v>9</v>
      </c>
      <c r="G422" s="100"/>
      <c r="H422" s="101">
        <v>499</v>
      </c>
      <c r="I422" s="93"/>
      <c r="J422" s="93"/>
      <c r="K422" s="93"/>
      <c r="L422" s="93"/>
    </row>
    <row r="423" spans="1:12" ht="16.5" customHeight="1">
      <c r="A423" s="93"/>
      <c r="B423" s="594" t="s">
        <v>3518</v>
      </c>
      <c r="C423" s="595">
        <v>3</v>
      </c>
      <c r="D423" s="100" t="s">
        <v>3519</v>
      </c>
      <c r="E423" s="225" t="s">
        <v>3520</v>
      </c>
      <c r="F423" s="225" t="s">
        <v>3514</v>
      </c>
      <c r="G423" s="225"/>
      <c r="H423" s="112" t="s">
        <v>1521</v>
      </c>
      <c r="I423" s="93"/>
      <c r="J423" s="93"/>
      <c r="K423" s="93"/>
      <c r="L423" s="93"/>
    </row>
    <row r="424" spans="1:12" ht="16.5" customHeight="1">
      <c r="A424" s="93"/>
      <c r="B424" s="594"/>
      <c r="C424" s="595"/>
      <c r="D424" s="100"/>
      <c r="E424" s="110">
        <v>495</v>
      </c>
      <c r="F424" s="100">
        <v>4</v>
      </c>
      <c r="G424" s="100"/>
      <c r="H424" s="209">
        <v>499</v>
      </c>
      <c r="I424" s="93"/>
      <c r="J424" s="93"/>
      <c r="K424" s="93"/>
      <c r="L424" s="93"/>
    </row>
    <row r="425" spans="1:12" ht="16.5" customHeight="1">
      <c r="A425" s="93"/>
      <c r="B425" s="594" t="s">
        <v>3521</v>
      </c>
      <c r="C425" s="595" t="s">
        <v>3522</v>
      </c>
      <c r="D425" s="100" t="s">
        <v>3523</v>
      </c>
      <c r="E425" s="225" t="s">
        <v>3523</v>
      </c>
      <c r="F425" s="225"/>
      <c r="G425" s="225"/>
      <c r="H425" s="112" t="s">
        <v>1521</v>
      </c>
      <c r="I425" s="93"/>
      <c r="J425" s="93"/>
      <c r="K425" s="93"/>
      <c r="L425" s="93"/>
    </row>
    <row r="426" spans="1:12" ht="16.5" customHeight="1">
      <c r="A426" s="93"/>
      <c r="B426" s="626"/>
      <c r="C426" s="661"/>
      <c r="D426" s="106"/>
      <c r="E426" s="106">
        <v>499</v>
      </c>
      <c r="F426" s="106"/>
      <c r="G426" s="106"/>
      <c r="H426" s="226">
        <v>499</v>
      </c>
      <c r="I426" s="93"/>
      <c r="J426" s="93"/>
      <c r="K426" s="93"/>
      <c r="L426" s="93"/>
    </row>
    <row r="427" spans="1:12" ht="16.5" customHeight="1">
      <c r="A427" s="93"/>
      <c r="B427" s="93"/>
      <c r="C427" s="93"/>
      <c r="D427" s="93"/>
      <c r="E427" s="93"/>
      <c r="F427" s="92"/>
      <c r="G427" s="92"/>
      <c r="H427" s="93"/>
      <c r="I427" s="93"/>
      <c r="J427" s="93"/>
      <c r="K427" s="93"/>
      <c r="L427" s="93"/>
    </row>
    <row r="428" spans="1:12" ht="16.5" customHeight="1">
      <c r="B428" s="93"/>
      <c r="C428" s="93"/>
      <c r="D428" s="93"/>
      <c r="E428" s="93"/>
      <c r="F428" s="92"/>
      <c r="G428" s="92"/>
      <c r="H428" s="93"/>
    </row>
    <row r="429" spans="1:12" ht="16.5" customHeight="1">
      <c r="B429" s="95" t="s">
        <v>3524</v>
      </c>
      <c r="C429" s="97" t="s">
        <v>3525</v>
      </c>
      <c r="D429" s="93"/>
      <c r="E429" s="95" t="s">
        <v>3524</v>
      </c>
      <c r="F429" s="97" t="s">
        <v>3525</v>
      </c>
      <c r="G429" s="104" t="s">
        <v>1238</v>
      </c>
      <c r="H429" s="93"/>
    </row>
    <row r="430" spans="1:12" ht="16.5" customHeight="1">
      <c r="B430" s="111">
        <v>1</v>
      </c>
      <c r="C430" s="112" t="str">
        <f>ROMAN(B430,0)</f>
        <v>I</v>
      </c>
      <c r="D430" s="93"/>
      <c r="E430" s="99">
        <v>50</v>
      </c>
      <c r="F430" s="112" t="str">
        <f>ROMAN(E430,0)</f>
        <v>L</v>
      </c>
      <c r="G430" s="108" t="s">
        <v>3526</v>
      </c>
      <c r="H430" s="93"/>
    </row>
    <row r="431" spans="1:12" ht="16.5" customHeight="1">
      <c r="B431" s="111">
        <v>2</v>
      </c>
      <c r="C431" s="112" t="str">
        <f t="shared" ref="C431:C439" si="2">ROMAN(B431,0)</f>
        <v>II</v>
      </c>
      <c r="D431" s="93"/>
      <c r="E431" s="99">
        <v>100</v>
      </c>
      <c r="F431" s="112" t="str">
        <f>ROMAN(E431,0)</f>
        <v>C</v>
      </c>
      <c r="G431" s="158"/>
      <c r="H431" s="93"/>
    </row>
    <row r="432" spans="1:12" ht="16.5" customHeight="1">
      <c r="B432" s="111">
        <v>3</v>
      </c>
      <c r="C432" s="112" t="str">
        <f t="shared" si="2"/>
        <v>III</v>
      </c>
      <c r="D432" s="93"/>
      <c r="E432" s="99">
        <v>500</v>
      </c>
      <c r="F432" s="112" t="str">
        <f>ROMAN(E432,0)</f>
        <v>D</v>
      </c>
      <c r="G432" s="158"/>
      <c r="H432" s="93"/>
    </row>
    <row r="433" spans="2:8" ht="16.5" customHeight="1">
      <c r="B433" s="111">
        <v>4</v>
      </c>
      <c r="C433" s="112" t="str">
        <f t="shared" si="2"/>
        <v>IV</v>
      </c>
      <c r="D433" s="93"/>
      <c r="E433" s="105">
        <v>1000</v>
      </c>
      <c r="F433" s="112" t="str">
        <f>ROMAN(E433,0)</f>
        <v>M</v>
      </c>
      <c r="G433" s="158"/>
      <c r="H433" s="93"/>
    </row>
    <row r="434" spans="2:8" ht="16.5" customHeight="1">
      <c r="B434" s="111">
        <v>5</v>
      </c>
      <c r="C434" s="112" t="str">
        <f t="shared" si="2"/>
        <v>V</v>
      </c>
      <c r="D434" s="93"/>
      <c r="E434" s="105">
        <v>3999</v>
      </c>
      <c r="F434" s="150" t="str">
        <f>ROMAN(E434,0)</f>
        <v>MMMCMXCIX</v>
      </c>
      <c r="G434" s="108" t="s">
        <v>5887</v>
      </c>
      <c r="H434" s="93"/>
    </row>
    <row r="435" spans="2:8" ht="16.5" customHeight="1">
      <c r="B435" s="111">
        <v>6</v>
      </c>
      <c r="C435" s="112" t="str">
        <f t="shared" si="2"/>
        <v>VI</v>
      </c>
      <c r="D435" s="93"/>
      <c r="E435" s="105">
        <v>3999</v>
      </c>
      <c r="F435" s="150" t="str">
        <f>ROMAN(E435,1)</f>
        <v>MMMLMVLIV</v>
      </c>
      <c r="G435" s="108" t="s">
        <v>5888</v>
      </c>
      <c r="H435" s="93"/>
    </row>
    <row r="436" spans="2:8" ht="16.5" customHeight="1">
      <c r="B436" s="111">
        <v>7</v>
      </c>
      <c r="C436" s="112" t="str">
        <f t="shared" si="2"/>
        <v>VII</v>
      </c>
      <c r="D436" s="93"/>
      <c r="E436" s="105">
        <v>3999</v>
      </c>
      <c r="F436" s="150" t="str">
        <f>ROMAN(E436,2)</f>
        <v>MMMXMIX</v>
      </c>
      <c r="G436" s="108" t="s">
        <v>5889</v>
      </c>
      <c r="H436" s="93"/>
    </row>
    <row r="437" spans="2:8" ht="16.5" customHeight="1">
      <c r="B437" s="111">
        <v>8</v>
      </c>
      <c r="C437" s="112" t="str">
        <f t="shared" si="2"/>
        <v>VIII</v>
      </c>
      <c r="D437" s="93"/>
      <c r="E437" s="105">
        <v>3999</v>
      </c>
      <c r="F437" s="150" t="str">
        <f>ROMAN(E437,3)</f>
        <v>MMMVMIV</v>
      </c>
      <c r="G437" s="108" t="s">
        <v>5890</v>
      </c>
      <c r="H437" s="93"/>
    </row>
    <row r="438" spans="2:8" ht="16.5" customHeight="1">
      <c r="B438" s="111">
        <v>9</v>
      </c>
      <c r="C438" s="112" t="str">
        <f t="shared" si="2"/>
        <v>IX</v>
      </c>
      <c r="D438" s="93"/>
      <c r="E438" s="105">
        <v>3999</v>
      </c>
      <c r="F438" s="150" t="str">
        <f>ROMAN(E438,4)</f>
        <v>MMMIM</v>
      </c>
      <c r="G438" s="108" t="s">
        <v>5891</v>
      </c>
    </row>
    <row r="439" spans="2:8" ht="16.5" customHeight="1">
      <c r="B439" s="151">
        <v>10</v>
      </c>
      <c r="C439" s="150" t="str">
        <f t="shared" si="2"/>
        <v>X</v>
      </c>
      <c r="D439" s="93"/>
    </row>
    <row r="500" spans="1:13" s="88" customFormat="1" ht="26.25" customHeight="1">
      <c r="A500" s="498" t="s">
        <v>387</v>
      </c>
      <c r="B500" s="498"/>
      <c r="C500" s="499"/>
      <c r="D500" s="87"/>
      <c r="E500" s="500" t="str">
        <f>HYPERLINK("#目录!A227","跳转回到目录页")</f>
        <v>跳转回到目录页</v>
      </c>
      <c r="F500" s="501"/>
    </row>
    <row r="501" spans="1:13" s="88" customFormat="1" ht="26.25" customHeight="1">
      <c r="A501" s="502" t="s">
        <v>1216</v>
      </c>
      <c r="B501" s="502"/>
      <c r="C501" s="503" t="s">
        <v>388</v>
      </c>
      <c r="D501" s="503"/>
      <c r="E501" s="503"/>
      <c r="F501" s="503"/>
      <c r="G501" s="503"/>
      <c r="H501" s="503"/>
      <c r="I501" s="503"/>
      <c r="J501" s="503"/>
      <c r="K501" s="503"/>
      <c r="L501" s="503"/>
      <c r="M501" s="503"/>
    </row>
    <row r="502" spans="1:13" s="88" customFormat="1" ht="16.5" customHeight="1">
      <c r="A502" s="496" t="s">
        <v>1217</v>
      </c>
      <c r="B502" s="496"/>
      <c r="C502" s="493" t="s">
        <v>3527</v>
      </c>
      <c r="D502" s="493"/>
      <c r="E502" s="493"/>
      <c r="F502" s="493"/>
      <c r="G502" s="493"/>
      <c r="H502" s="493"/>
      <c r="I502" s="493"/>
      <c r="J502" s="493"/>
      <c r="K502" s="493"/>
      <c r="L502" s="493"/>
      <c r="M502" s="493"/>
    </row>
    <row r="503" spans="1:13" s="88" customFormat="1" ht="16.5" customHeight="1">
      <c r="A503" s="496" t="s">
        <v>5786</v>
      </c>
      <c r="B503" s="496"/>
      <c r="C503" s="497" t="s">
        <v>3528</v>
      </c>
      <c r="D503" s="497"/>
      <c r="E503" s="497"/>
      <c r="F503" s="497"/>
      <c r="G503" s="497"/>
      <c r="H503" s="497"/>
      <c r="I503" s="497"/>
      <c r="J503" s="497"/>
      <c r="K503" s="497"/>
      <c r="L503" s="497"/>
      <c r="M503" s="497"/>
    </row>
    <row r="504" spans="1:13" s="88" customFormat="1" ht="16.5" customHeight="1">
      <c r="A504" s="496" t="s">
        <v>1220</v>
      </c>
      <c r="B504" s="496"/>
      <c r="C504" s="493" t="s">
        <v>3529</v>
      </c>
      <c r="D504" s="493"/>
      <c r="E504" s="493"/>
      <c r="F504" s="493"/>
      <c r="G504" s="493"/>
      <c r="H504" s="493"/>
      <c r="I504" s="493"/>
      <c r="J504" s="493"/>
      <c r="K504" s="493"/>
      <c r="L504" s="493"/>
      <c r="M504" s="493"/>
    </row>
    <row r="505" spans="1:13" s="88" customFormat="1" ht="16.5" customHeight="1">
      <c r="A505" s="496" t="s">
        <v>5785</v>
      </c>
      <c r="B505" s="496"/>
      <c r="C505" s="493" t="s">
        <v>3530</v>
      </c>
      <c r="D505" s="493"/>
      <c r="E505" s="493"/>
      <c r="F505" s="493"/>
      <c r="G505" s="493"/>
      <c r="H505" s="493"/>
      <c r="I505" s="493"/>
      <c r="J505" s="493"/>
      <c r="K505" s="493"/>
      <c r="L505" s="493"/>
      <c r="M505" s="493"/>
    </row>
    <row r="506" spans="1:13" s="88" customFormat="1" ht="16.5" customHeight="1">
      <c r="A506" s="89" t="s">
        <v>1223</v>
      </c>
      <c r="B506" s="92" t="s">
        <v>1576</v>
      </c>
      <c r="C506" s="493" t="s">
        <v>3495</v>
      </c>
      <c r="D506" s="493"/>
      <c r="E506" s="493"/>
      <c r="F506" s="493"/>
      <c r="G506" s="493"/>
      <c r="H506" s="493"/>
      <c r="I506" s="493"/>
      <c r="J506" s="493"/>
      <c r="K506" s="493"/>
      <c r="L506" s="493"/>
      <c r="M506" s="493"/>
    </row>
    <row r="507" spans="1:13" s="88" customFormat="1" ht="48" customHeight="1">
      <c r="A507" s="89"/>
      <c r="B507" s="92" t="s">
        <v>3531</v>
      </c>
      <c r="C507" s="493" t="s">
        <v>3532</v>
      </c>
      <c r="D507" s="493"/>
      <c r="E507" s="493"/>
      <c r="F507" s="493"/>
      <c r="G507" s="493"/>
      <c r="H507" s="493"/>
      <c r="I507" s="493"/>
      <c r="J507" s="493"/>
      <c r="K507" s="493"/>
      <c r="L507" s="493"/>
      <c r="M507" s="493"/>
    </row>
    <row r="508" spans="1:13" s="88" customFormat="1" ht="16.5" customHeight="1">
      <c r="A508" s="89"/>
      <c r="B508" s="90"/>
      <c r="C508" s="493"/>
      <c r="D508" s="493"/>
      <c r="E508" s="493"/>
      <c r="F508" s="493"/>
      <c r="G508" s="493"/>
      <c r="H508" s="493"/>
      <c r="I508" s="493"/>
      <c r="J508" s="493"/>
      <c r="K508" s="493"/>
      <c r="L508" s="493"/>
      <c r="M508" s="493"/>
    </row>
    <row r="509" spans="1:13" s="88" customFormat="1" ht="16.5" customHeight="1">
      <c r="A509" s="89" t="s">
        <v>1228</v>
      </c>
      <c r="B509" s="493"/>
      <c r="C509" s="493"/>
      <c r="D509" s="493"/>
      <c r="E509" s="493"/>
      <c r="F509" s="493"/>
      <c r="G509" s="493"/>
      <c r="H509" s="493"/>
      <c r="I509" s="493"/>
      <c r="J509" s="493"/>
      <c r="K509" s="493"/>
      <c r="L509" s="493"/>
      <c r="M509" s="493"/>
    </row>
    <row r="510" spans="1:13" ht="16.5" customHeight="1">
      <c r="A510" s="89" t="s">
        <v>1229</v>
      </c>
      <c r="B510" s="493" t="s">
        <v>3533</v>
      </c>
      <c r="C510" s="493"/>
      <c r="D510" s="493"/>
      <c r="E510" s="493"/>
      <c r="F510" s="493"/>
      <c r="G510" s="493"/>
      <c r="H510" s="493"/>
      <c r="I510" s="493"/>
      <c r="J510" s="493"/>
      <c r="K510" s="493"/>
      <c r="L510" s="493"/>
      <c r="M510" s="493"/>
    </row>
    <row r="511" spans="1:13" ht="21" customHeight="1">
      <c r="B511" s="494" t="s">
        <v>2863</v>
      </c>
      <c r="C511" s="494"/>
      <c r="D511" s="494"/>
      <c r="E511" s="494"/>
      <c r="F511" s="494"/>
      <c r="G511" s="494"/>
      <c r="H511" s="494"/>
      <c r="I511" s="494"/>
      <c r="J511" s="494"/>
      <c r="K511" s="494"/>
      <c r="L511" s="495"/>
    </row>
    <row r="512" spans="1:13" s="93" customFormat="1" ht="16.5" customHeight="1"/>
    <row r="513" spans="1:10" s="93" customFormat="1" ht="16.5" customHeight="1">
      <c r="A513" s="94" t="s">
        <v>1232</v>
      </c>
      <c r="B513" s="93" t="s">
        <v>1773</v>
      </c>
      <c r="C513" s="93" t="s">
        <v>3534</v>
      </c>
    </row>
    <row r="514" spans="1:10" ht="16.5" customHeight="1"/>
    <row r="515" spans="1:10" ht="16.5" customHeight="1"/>
    <row r="516" spans="1:10" ht="16.5" customHeight="1">
      <c r="B516" s="565" t="s">
        <v>3535</v>
      </c>
      <c r="C516" s="565"/>
      <c r="D516" s="565"/>
    </row>
    <row r="517" spans="1:10" ht="16.5" customHeight="1">
      <c r="B517" s="95" t="s">
        <v>1246</v>
      </c>
      <c r="C517" s="96" t="s">
        <v>1607</v>
      </c>
      <c r="D517" s="97" t="s">
        <v>3536</v>
      </c>
      <c r="E517" s="227" t="s">
        <v>1431</v>
      </c>
      <c r="G517" s="93"/>
      <c r="H517" s="93"/>
    </row>
    <row r="518" spans="1:10" ht="16.5" customHeight="1">
      <c r="B518" s="111" t="s">
        <v>1375</v>
      </c>
      <c r="C518" s="100"/>
      <c r="D518" s="112" t="s">
        <v>1375</v>
      </c>
      <c r="E518" s="93"/>
      <c r="G518" s="104" t="s">
        <v>1238</v>
      </c>
      <c r="H518" s="104"/>
      <c r="J518" s="104" t="s">
        <v>27</v>
      </c>
    </row>
    <row r="519" spans="1:10" ht="16.5" customHeight="1">
      <c r="B519" s="215" t="s">
        <v>1850</v>
      </c>
      <c r="C519" s="216" t="s">
        <v>1618</v>
      </c>
      <c r="D519" s="101">
        <v>562</v>
      </c>
      <c r="E519" s="93" t="str">
        <f>NUMBERSTRING(D519,1)</f>
        <v>五百六十二</v>
      </c>
      <c r="G519" s="108" t="s">
        <v>5892</v>
      </c>
      <c r="J519" s="158" t="s">
        <v>3537</v>
      </c>
    </row>
    <row r="520" spans="1:10" ht="16.5" customHeight="1">
      <c r="B520" s="215" t="s">
        <v>1852</v>
      </c>
      <c r="C520" s="216" t="s">
        <v>1612</v>
      </c>
      <c r="D520" s="101">
        <v>456</v>
      </c>
      <c r="E520" s="93" t="str">
        <f>NUMBERSTRING(D520,2)</f>
        <v>肆佰伍拾陆</v>
      </c>
      <c r="G520" s="108" t="s">
        <v>5893</v>
      </c>
      <c r="H520" s="143"/>
      <c r="J520" s="158" t="s">
        <v>3538</v>
      </c>
    </row>
    <row r="521" spans="1:10" ht="16.5" customHeight="1">
      <c r="B521" s="215" t="s">
        <v>1851</v>
      </c>
      <c r="C521" s="216" t="s">
        <v>1612</v>
      </c>
      <c r="D521" s="101">
        <v>412</v>
      </c>
      <c r="E521" s="93" t="str">
        <f>NUMBERSTRING(D521,3)</f>
        <v>四一二</v>
      </c>
      <c r="G521" s="108" t="s">
        <v>5894</v>
      </c>
      <c r="H521" s="143"/>
      <c r="J521" s="158" t="s">
        <v>3539</v>
      </c>
    </row>
    <row r="522" spans="1:10" ht="16.5" customHeight="1">
      <c r="B522" s="215" t="s">
        <v>1849</v>
      </c>
      <c r="C522" s="216" t="s">
        <v>1618</v>
      </c>
      <c r="D522" s="101">
        <v>231</v>
      </c>
      <c r="E522" s="93" t="str">
        <f>"￥"&amp;NUMBERSTRING(D522,2)&amp;"元"</f>
        <v>￥贰佰叁拾壹元</v>
      </c>
      <c r="F522" s="158"/>
      <c r="G522" s="108" t="s">
        <v>5895</v>
      </c>
      <c r="H522" s="143"/>
      <c r="J522" s="158" t="s">
        <v>3540</v>
      </c>
    </row>
    <row r="523" spans="1:10" ht="16.5" customHeight="1">
      <c r="B523" s="215" t="s">
        <v>1848</v>
      </c>
      <c r="C523" s="216" t="s">
        <v>1618</v>
      </c>
      <c r="D523" s="101">
        <v>451</v>
      </c>
      <c r="E523" s="93" t="str">
        <f>NUMBERSTRING(451,2)</f>
        <v>肆佰伍拾壹</v>
      </c>
      <c r="F523" s="93"/>
      <c r="G523" s="108" t="s">
        <v>5896</v>
      </c>
      <c r="H523" s="143"/>
      <c r="J523" s="158" t="s">
        <v>3541</v>
      </c>
    </row>
    <row r="524" spans="1:10" ht="16.5" customHeight="1">
      <c r="B524" s="215" t="s">
        <v>1854</v>
      </c>
      <c r="C524" s="216" t="s">
        <v>1618</v>
      </c>
      <c r="D524" s="101">
        <v>362</v>
      </c>
      <c r="E524" s="93"/>
      <c r="F524" s="93"/>
      <c r="G524" s="143"/>
      <c r="H524" s="143"/>
    </row>
    <row r="525" spans="1:10" ht="16.5" customHeight="1">
      <c r="B525" s="215" t="s">
        <v>1847</v>
      </c>
      <c r="C525" s="216" t="s">
        <v>1618</v>
      </c>
      <c r="D525" s="101">
        <v>862</v>
      </c>
      <c r="E525" s="93"/>
      <c r="F525" s="93"/>
      <c r="G525" s="143"/>
      <c r="H525" s="143"/>
    </row>
    <row r="526" spans="1:10" ht="16.5" customHeight="1">
      <c r="B526" s="215" t="s">
        <v>1843</v>
      </c>
      <c r="C526" s="216" t="s">
        <v>1618</v>
      </c>
      <c r="D526" s="101">
        <v>308</v>
      </c>
      <c r="E526" s="93"/>
      <c r="F526" s="93"/>
      <c r="G526" s="143"/>
      <c r="H526" s="143"/>
    </row>
    <row r="527" spans="1:10" ht="16.5" customHeight="1">
      <c r="B527" s="215" t="s">
        <v>1845</v>
      </c>
      <c r="C527" s="216" t="s">
        <v>1618</v>
      </c>
      <c r="D527" s="101">
        <v>265</v>
      </c>
      <c r="E527" s="93"/>
      <c r="F527" s="93"/>
      <c r="G527" s="143"/>
      <c r="H527" s="143"/>
    </row>
    <row r="528" spans="1:10" ht="16.5" customHeight="1">
      <c r="B528" s="215" t="s">
        <v>1853</v>
      </c>
      <c r="C528" s="216" t="s">
        <v>1618</v>
      </c>
      <c r="D528" s="101">
        <v>256</v>
      </c>
      <c r="E528" s="93"/>
      <c r="F528" s="93"/>
      <c r="G528" s="143"/>
      <c r="H528" s="143"/>
    </row>
    <row r="529" spans="2:8" ht="16.5" customHeight="1">
      <c r="B529" s="151" t="s">
        <v>1375</v>
      </c>
      <c r="C529" s="106"/>
      <c r="D529" s="150" t="s">
        <v>1375</v>
      </c>
      <c r="E529" s="93"/>
      <c r="F529" s="93"/>
      <c r="G529" s="143"/>
      <c r="H529" s="143"/>
    </row>
  </sheetData>
  <mergeCells count="167">
    <mergeCell ref="A4:B4"/>
    <mergeCell ref="C4:M4"/>
    <mergeCell ref="A5:B5"/>
    <mergeCell ref="C5:M5"/>
    <mergeCell ref="A6:B6"/>
    <mergeCell ref="C6:M6"/>
    <mergeCell ref="A1:C1"/>
    <mergeCell ref="E1:F1"/>
    <mergeCell ref="A2:B2"/>
    <mergeCell ref="C2:M2"/>
    <mergeCell ref="A3:B3"/>
    <mergeCell ref="C3:M3"/>
    <mergeCell ref="B26:E26"/>
    <mergeCell ref="B39:C39"/>
    <mergeCell ref="D39:E39"/>
    <mergeCell ref="B40:C40"/>
    <mergeCell ref="D40:E40"/>
    <mergeCell ref="B41:C41"/>
    <mergeCell ref="D41:E41"/>
    <mergeCell ref="C7:M7"/>
    <mergeCell ref="C8:M8"/>
    <mergeCell ref="C9:M9"/>
    <mergeCell ref="B10:M10"/>
    <mergeCell ref="B11:M11"/>
    <mergeCell ref="B12:L12"/>
    <mergeCell ref="B45:C45"/>
    <mergeCell ref="D45:E45"/>
    <mergeCell ref="A100:C100"/>
    <mergeCell ref="E100:F100"/>
    <mergeCell ref="A101:B101"/>
    <mergeCell ref="C101:M101"/>
    <mergeCell ref="B42:C42"/>
    <mergeCell ref="D42:E42"/>
    <mergeCell ref="B43:C43"/>
    <mergeCell ref="D43:E43"/>
    <mergeCell ref="B44:C44"/>
    <mergeCell ref="D44:E44"/>
    <mergeCell ref="A105:B105"/>
    <mergeCell ref="C105:M105"/>
    <mergeCell ref="C106:M106"/>
    <mergeCell ref="C107:M107"/>
    <mergeCell ref="C108:M108"/>
    <mergeCell ref="B109:M109"/>
    <mergeCell ref="A102:B102"/>
    <mergeCell ref="C102:M102"/>
    <mergeCell ref="A103:B103"/>
    <mergeCell ref="C103:M103"/>
    <mergeCell ref="A104:B104"/>
    <mergeCell ref="C104:M104"/>
    <mergeCell ref="B140:C140"/>
    <mergeCell ref="D140:E140"/>
    <mergeCell ref="B141:C141"/>
    <mergeCell ref="D141:E141"/>
    <mergeCell ref="B142:C142"/>
    <mergeCell ref="D142:E142"/>
    <mergeCell ref="B110:M110"/>
    <mergeCell ref="B111:L111"/>
    <mergeCell ref="B125:E125"/>
    <mergeCell ref="B138:C138"/>
    <mergeCell ref="D138:E138"/>
    <mergeCell ref="B139:C139"/>
    <mergeCell ref="D139:E139"/>
    <mergeCell ref="A201:B201"/>
    <mergeCell ref="C201:M201"/>
    <mergeCell ref="A202:B202"/>
    <mergeCell ref="C202:M202"/>
    <mergeCell ref="A203:B203"/>
    <mergeCell ref="C203:M203"/>
    <mergeCell ref="B143:C143"/>
    <mergeCell ref="D143:E143"/>
    <mergeCell ref="B144:C144"/>
    <mergeCell ref="D144:E144"/>
    <mergeCell ref="A200:C200"/>
    <mergeCell ref="E200:F200"/>
    <mergeCell ref="C208:M208"/>
    <mergeCell ref="B209:M209"/>
    <mergeCell ref="B210:M210"/>
    <mergeCell ref="B211:L211"/>
    <mergeCell ref="B215:G215"/>
    <mergeCell ref="E216:G216"/>
    <mergeCell ref="A204:B204"/>
    <mergeCell ref="C204:M204"/>
    <mergeCell ref="A205:B205"/>
    <mergeCell ref="C205:M205"/>
    <mergeCell ref="C206:M206"/>
    <mergeCell ref="C207:M207"/>
    <mergeCell ref="A300:C300"/>
    <mergeCell ref="E300:F300"/>
    <mergeCell ref="A301:B301"/>
    <mergeCell ref="C301:M301"/>
    <mergeCell ref="A302:B302"/>
    <mergeCell ref="C302:M302"/>
    <mergeCell ref="E217:G217"/>
    <mergeCell ref="E218:G218"/>
    <mergeCell ref="E219:G219"/>
    <mergeCell ref="E220:G220"/>
    <mergeCell ref="E221:G221"/>
    <mergeCell ref="E222:G222"/>
    <mergeCell ref="C306:M306"/>
    <mergeCell ref="C307:M307"/>
    <mergeCell ref="C308:M308"/>
    <mergeCell ref="B309:M309"/>
    <mergeCell ref="B310:M310"/>
    <mergeCell ref="B311:L311"/>
    <mergeCell ref="A303:B303"/>
    <mergeCell ref="C303:M303"/>
    <mergeCell ref="A304:B304"/>
    <mergeCell ref="C304:M304"/>
    <mergeCell ref="A305:B305"/>
    <mergeCell ref="C305:M305"/>
    <mergeCell ref="B346:C346"/>
    <mergeCell ref="B347:C347"/>
    <mergeCell ref="A400:C400"/>
    <mergeCell ref="E400:F400"/>
    <mergeCell ref="A401:B401"/>
    <mergeCell ref="C401:M401"/>
    <mergeCell ref="B329:E329"/>
    <mergeCell ref="B341:C341"/>
    <mergeCell ref="B342:C342"/>
    <mergeCell ref="B343:C343"/>
    <mergeCell ref="B344:C344"/>
    <mergeCell ref="B345:C345"/>
    <mergeCell ref="A405:B405"/>
    <mergeCell ref="C405:M405"/>
    <mergeCell ref="C406:M406"/>
    <mergeCell ref="C407:M407"/>
    <mergeCell ref="C408:M408"/>
    <mergeCell ref="B409:M409"/>
    <mergeCell ref="A402:B402"/>
    <mergeCell ref="C402:M402"/>
    <mergeCell ref="A403:B403"/>
    <mergeCell ref="C403:M403"/>
    <mergeCell ref="A404:B404"/>
    <mergeCell ref="C404:M404"/>
    <mergeCell ref="A501:B501"/>
    <mergeCell ref="C501:M501"/>
    <mergeCell ref="A502:B502"/>
    <mergeCell ref="C502:M502"/>
    <mergeCell ref="A503:B503"/>
    <mergeCell ref="C503:M503"/>
    <mergeCell ref="C425:C426"/>
    <mergeCell ref="B410:M410"/>
    <mergeCell ref="B411:L411"/>
    <mergeCell ref="B415:H415"/>
    <mergeCell ref="E416:H416"/>
    <mergeCell ref="A500:C500"/>
    <mergeCell ref="E500:F500"/>
    <mergeCell ref="C417:C418"/>
    <mergeCell ref="C419:C420"/>
    <mergeCell ref="C421:C422"/>
    <mergeCell ref="C423:C424"/>
    <mergeCell ref="B417:B418"/>
    <mergeCell ref="B419:B420"/>
    <mergeCell ref="B421:B422"/>
    <mergeCell ref="B423:B424"/>
    <mergeCell ref="B425:B426"/>
    <mergeCell ref="C508:M508"/>
    <mergeCell ref="B509:M509"/>
    <mergeCell ref="B510:M510"/>
    <mergeCell ref="B511:L511"/>
    <mergeCell ref="B516:D516"/>
    <mergeCell ref="C504:M504"/>
    <mergeCell ref="A505:B505"/>
    <mergeCell ref="C505:M505"/>
    <mergeCell ref="C506:M506"/>
    <mergeCell ref="A504:B504"/>
    <mergeCell ref="C507:M507"/>
  </mergeCells>
  <phoneticPr fontId="2" type="noConversion"/>
  <pageMargins left="0.75" right="0.75" top="1" bottom="1" header="0.5" footer="0.5"/>
  <pageSetup paperSize="9" orientation="portrait" horizontalDpi="1200" verticalDpi="1200"/>
  <headerFooter scaleWithDoc="0"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AV222"/>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377</v>
      </c>
      <c r="B1" s="498"/>
      <c r="C1" s="499"/>
      <c r="D1" s="87"/>
      <c r="E1" s="500" t="str">
        <f>HYPERLINK("#目录!A221","跳转回到目录页")</f>
        <v>跳转回到目录页</v>
      </c>
      <c r="F1" s="501"/>
    </row>
    <row r="2" spans="1:48" s="88" customFormat="1" ht="26.25" customHeight="1">
      <c r="A2" s="502" t="s">
        <v>1216</v>
      </c>
      <c r="B2" s="502"/>
      <c r="C2" s="503" t="s">
        <v>378</v>
      </c>
      <c r="D2" s="503"/>
      <c r="E2" s="503"/>
      <c r="F2" s="503"/>
      <c r="G2" s="503"/>
      <c r="H2" s="503"/>
      <c r="I2" s="503"/>
      <c r="J2" s="503"/>
      <c r="K2" s="503"/>
      <c r="L2" s="503"/>
      <c r="M2" s="503"/>
    </row>
    <row r="3" spans="1:48" s="88" customFormat="1" ht="24.75" customHeight="1">
      <c r="A3" s="496" t="s">
        <v>1217</v>
      </c>
      <c r="B3" s="496"/>
      <c r="C3" s="493" t="s">
        <v>3542</v>
      </c>
      <c r="D3" s="493"/>
      <c r="E3" s="493"/>
      <c r="F3" s="493"/>
      <c r="G3" s="493"/>
      <c r="H3" s="493"/>
      <c r="I3" s="493"/>
      <c r="J3" s="493"/>
      <c r="K3" s="493"/>
      <c r="L3" s="493"/>
      <c r="M3" s="493"/>
    </row>
    <row r="4" spans="1:48" s="88" customFormat="1" ht="16.5" customHeight="1">
      <c r="A4" s="496" t="s">
        <v>5786</v>
      </c>
      <c r="B4" s="496"/>
      <c r="C4" s="497" t="s">
        <v>3543</v>
      </c>
      <c r="D4" s="497"/>
      <c r="E4" s="497"/>
      <c r="F4" s="497"/>
      <c r="G4" s="497"/>
      <c r="H4" s="497"/>
      <c r="I4" s="497"/>
      <c r="J4" s="497"/>
      <c r="K4" s="497"/>
      <c r="L4" s="497"/>
      <c r="M4" s="497"/>
    </row>
    <row r="5" spans="1:48" s="88" customFormat="1" ht="16.5" customHeight="1">
      <c r="A5" s="496" t="s">
        <v>1220</v>
      </c>
      <c r="B5" s="496"/>
      <c r="C5" s="493" t="s">
        <v>3544</v>
      </c>
      <c r="D5" s="493"/>
      <c r="E5" s="493"/>
      <c r="F5" s="493"/>
      <c r="G5" s="493"/>
      <c r="H5" s="493"/>
      <c r="I5" s="493"/>
      <c r="J5" s="493"/>
      <c r="K5" s="493"/>
      <c r="L5" s="493"/>
      <c r="M5" s="493"/>
    </row>
    <row r="6" spans="1:48" s="88" customFormat="1" ht="16.5" customHeight="1">
      <c r="A6" s="496" t="s">
        <v>5785</v>
      </c>
      <c r="B6" s="496"/>
      <c r="C6" s="493" t="s">
        <v>3545</v>
      </c>
      <c r="D6" s="493"/>
      <c r="E6" s="493"/>
      <c r="F6" s="493"/>
      <c r="G6" s="493"/>
      <c r="H6" s="493"/>
      <c r="I6" s="493"/>
      <c r="J6" s="493"/>
      <c r="K6" s="493"/>
      <c r="L6" s="493"/>
      <c r="M6" s="493"/>
    </row>
    <row r="7" spans="1:48" s="88" customFormat="1" ht="16.5" customHeight="1">
      <c r="A7" s="89" t="s">
        <v>1223</v>
      </c>
      <c r="B7" s="92" t="s">
        <v>3546</v>
      </c>
      <c r="C7" s="493" t="s">
        <v>3547</v>
      </c>
      <c r="D7" s="493"/>
      <c r="E7" s="493"/>
      <c r="F7" s="493"/>
      <c r="G7" s="493"/>
      <c r="H7" s="493"/>
      <c r="I7" s="493"/>
      <c r="J7" s="493"/>
      <c r="K7" s="493"/>
      <c r="L7" s="493"/>
      <c r="M7" s="493"/>
    </row>
    <row r="8" spans="1:48" s="88" customFormat="1" ht="16.5" customHeight="1">
      <c r="A8" s="89"/>
      <c r="B8" s="92" t="s">
        <v>3548</v>
      </c>
      <c r="C8" s="493" t="s">
        <v>3549</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493"/>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F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482" t="s">
        <v>3550</v>
      </c>
      <c r="C16" s="504"/>
      <c r="D16" s="504"/>
      <c r="E16" s="504"/>
      <c r="F16" s="97" t="s">
        <v>1431</v>
      </c>
      <c r="G16" s="104" t="s">
        <v>1238</v>
      </c>
      <c r="I16" s="662" t="s">
        <v>3551</v>
      </c>
      <c r="J16" s="663"/>
      <c r="K16" s="66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654" t="s">
        <v>1861</v>
      </c>
      <c r="C17" s="554"/>
      <c r="D17" s="554" t="s">
        <v>1861</v>
      </c>
      <c r="E17" s="554"/>
      <c r="F17" s="112" t="b">
        <f>EXACT(B17,D17)</f>
        <v>1</v>
      </c>
      <c r="G17" s="108" t="s">
        <v>5846</v>
      </c>
      <c r="I17" s="665"/>
      <c r="J17" s="656"/>
      <c r="K17" s="666"/>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654" t="s">
        <v>3552</v>
      </c>
      <c r="C18" s="554"/>
      <c r="D18" s="554" t="s">
        <v>3553</v>
      </c>
      <c r="E18" s="554"/>
      <c r="F18" s="112" t="b">
        <f>EXACT(B18,D18)</f>
        <v>0</v>
      </c>
      <c r="G18" s="158"/>
      <c r="I18" s="99" t="s">
        <v>3554</v>
      </c>
      <c r="J18" s="210"/>
      <c r="K18" s="211"/>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654" t="s">
        <v>1904</v>
      </c>
      <c r="C19" s="554"/>
      <c r="D19" s="554" t="s">
        <v>3555</v>
      </c>
      <c r="E19" s="554"/>
      <c r="F19" s="112" t="b">
        <f>EXACT(B19,D19)</f>
        <v>0</v>
      </c>
      <c r="G19" s="158"/>
      <c r="I19" s="99" t="s">
        <v>3556</v>
      </c>
      <c r="J19" s="110"/>
      <c r="K19" s="101"/>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654" t="s">
        <v>1904</v>
      </c>
      <c r="C20" s="554"/>
      <c r="D20" s="554" t="s">
        <v>3557</v>
      </c>
      <c r="E20" s="554"/>
      <c r="F20" s="112" t="b">
        <f>EXACT(B20,D20)</f>
        <v>0</v>
      </c>
      <c r="G20" s="158"/>
      <c r="I20" s="99" t="s">
        <v>3558</v>
      </c>
      <c r="J20" s="110"/>
      <c r="K20" s="101"/>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654" t="s">
        <v>1904</v>
      </c>
      <c r="C21" s="554"/>
      <c r="D21" s="672" t="s">
        <v>1904</v>
      </c>
      <c r="E21" s="672"/>
      <c r="F21" s="112" t="b">
        <f>EXACT(B21,D21)</f>
        <v>1</v>
      </c>
      <c r="G21" s="158"/>
      <c r="I21" s="99" t="s">
        <v>3559</v>
      </c>
      <c r="J21" s="110"/>
      <c r="K21" s="10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653" t="s">
        <v>1904</v>
      </c>
      <c r="C22" s="556"/>
      <c r="D22" s="556"/>
      <c r="E22" s="556"/>
      <c r="F22" s="150" t="b">
        <f>EXACT("每男每女",B22)</f>
        <v>1</v>
      </c>
      <c r="G22" s="108" t="s">
        <v>5847</v>
      </c>
      <c r="I22" s="105" t="s">
        <v>3560</v>
      </c>
      <c r="J22" s="113"/>
      <c r="K22" s="107"/>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F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100" spans="1:13" s="88" customFormat="1" ht="26.25" customHeight="1">
      <c r="A100" s="498" t="s">
        <v>381</v>
      </c>
      <c r="B100" s="498"/>
      <c r="C100" s="499"/>
      <c r="D100" s="87"/>
      <c r="E100" s="500" t="str">
        <f>HYPERLINK("#目录!A223","跳转回到目录页")</f>
        <v>跳转回到目录页</v>
      </c>
      <c r="F100" s="501"/>
    </row>
    <row r="101" spans="1:13" s="88" customFormat="1" ht="26.25" customHeight="1">
      <c r="A101" s="502" t="s">
        <v>1216</v>
      </c>
      <c r="B101" s="502"/>
      <c r="C101" s="503" t="s">
        <v>382</v>
      </c>
      <c r="D101" s="503"/>
      <c r="E101" s="503"/>
      <c r="F101" s="503"/>
      <c r="G101" s="503"/>
      <c r="H101" s="503"/>
      <c r="I101" s="503"/>
      <c r="J101" s="503"/>
      <c r="K101" s="503"/>
      <c r="L101" s="503"/>
      <c r="M101" s="503"/>
    </row>
    <row r="102" spans="1:13" s="88" customFormat="1" ht="16.5" customHeight="1">
      <c r="A102" s="496" t="s">
        <v>1217</v>
      </c>
      <c r="B102" s="496"/>
      <c r="C102" s="493" t="s">
        <v>3561</v>
      </c>
      <c r="D102" s="493"/>
      <c r="E102" s="493"/>
      <c r="F102" s="493"/>
      <c r="G102" s="493"/>
      <c r="H102" s="493"/>
      <c r="I102" s="493"/>
      <c r="J102" s="493"/>
      <c r="K102" s="493"/>
      <c r="L102" s="493"/>
      <c r="M102" s="493"/>
    </row>
    <row r="103" spans="1:13" s="88" customFormat="1" ht="16.5" customHeight="1">
      <c r="A103" s="496" t="s">
        <v>5786</v>
      </c>
      <c r="B103" s="496"/>
      <c r="C103" s="497" t="s">
        <v>382</v>
      </c>
      <c r="D103" s="497"/>
      <c r="E103" s="497"/>
      <c r="F103" s="497"/>
      <c r="G103" s="497"/>
      <c r="H103" s="497"/>
      <c r="I103" s="497"/>
      <c r="J103" s="497"/>
      <c r="K103" s="497"/>
      <c r="L103" s="497"/>
      <c r="M103" s="497"/>
    </row>
    <row r="104" spans="1:13" s="88" customFormat="1" ht="16.5" customHeight="1">
      <c r="A104" s="496" t="s">
        <v>1220</v>
      </c>
      <c r="B104" s="496"/>
      <c r="C104" s="493" t="s">
        <v>3562</v>
      </c>
      <c r="D104" s="493"/>
      <c r="E104" s="493"/>
      <c r="F104" s="493"/>
      <c r="G104" s="493"/>
      <c r="H104" s="493"/>
      <c r="I104" s="493"/>
      <c r="J104" s="493"/>
      <c r="K104" s="493"/>
      <c r="L104" s="493"/>
      <c r="M104" s="493"/>
    </row>
    <row r="105" spans="1:13" s="88" customFormat="1" ht="16.5" customHeight="1">
      <c r="A105" s="496" t="s">
        <v>5785</v>
      </c>
      <c r="B105" s="496"/>
      <c r="C105" s="493" t="s">
        <v>3563</v>
      </c>
      <c r="D105" s="493"/>
      <c r="E105" s="493"/>
      <c r="F105" s="493"/>
      <c r="G105" s="493"/>
      <c r="H105" s="493"/>
      <c r="I105" s="493"/>
      <c r="J105" s="493"/>
      <c r="K105" s="493"/>
      <c r="L105" s="493"/>
      <c r="M105" s="493"/>
    </row>
    <row r="106" spans="1:13" s="88" customFormat="1" ht="16.5" customHeight="1">
      <c r="A106" s="89" t="s">
        <v>1223</v>
      </c>
      <c r="B106" s="92" t="s">
        <v>3034</v>
      </c>
      <c r="C106" s="493" t="s">
        <v>3564</v>
      </c>
      <c r="D106" s="493"/>
      <c r="E106" s="493"/>
      <c r="F106" s="493"/>
      <c r="G106" s="493"/>
      <c r="H106" s="493"/>
      <c r="I106" s="493"/>
      <c r="J106" s="493"/>
      <c r="K106" s="493"/>
      <c r="L106" s="493"/>
      <c r="M106" s="493"/>
    </row>
    <row r="107" spans="1:13" s="88" customFormat="1" ht="24.75" customHeight="1">
      <c r="A107" s="89"/>
      <c r="B107" s="92" t="s">
        <v>3565</v>
      </c>
      <c r="C107" s="493" t="s">
        <v>3566</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38.25" customHeight="1">
      <c r="A110" s="89" t="s">
        <v>1229</v>
      </c>
      <c r="B110" s="493" t="s">
        <v>3567</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1" s="93" customFormat="1" ht="16.5" customHeight="1">
      <c r="A113" s="94" t="s">
        <v>1232</v>
      </c>
      <c r="B113" s="93" t="s">
        <v>1773</v>
      </c>
    </row>
    <row r="114" spans="1:11" ht="16.5" customHeight="1">
      <c r="B114" s="93"/>
      <c r="C114" s="93"/>
      <c r="D114" s="93"/>
      <c r="E114" s="93"/>
      <c r="F114" s="93"/>
      <c r="G114" s="93"/>
      <c r="H114" s="93"/>
    </row>
    <row r="115" spans="1:11" ht="16.5" customHeight="1">
      <c r="B115" s="95" t="s">
        <v>3568</v>
      </c>
      <c r="C115" s="96" t="s">
        <v>3569</v>
      </c>
      <c r="D115" s="568" t="s">
        <v>1456</v>
      </c>
      <c r="E115" s="506"/>
      <c r="F115" s="481"/>
      <c r="G115" s="104" t="s">
        <v>1238</v>
      </c>
      <c r="H115" s="93"/>
    </row>
    <row r="116" spans="1:11" ht="16.5" customHeight="1">
      <c r="B116" s="111" t="s">
        <v>3570</v>
      </c>
      <c r="C116" s="100">
        <v>3</v>
      </c>
      <c r="D116" s="110" t="str">
        <f>REPT(B116,C116)</f>
        <v>函数宝典,函数宝典,函数宝典,</v>
      </c>
      <c r="E116" s="110"/>
      <c r="F116" s="212"/>
      <c r="G116" s="108" t="s">
        <v>5848</v>
      </c>
      <c r="H116" s="93"/>
    </row>
    <row r="117" spans="1:11" ht="16.5" customHeight="1">
      <c r="B117" s="151" t="s">
        <v>3570</v>
      </c>
      <c r="C117" s="106"/>
      <c r="D117" s="113" t="str">
        <f>REPT(B117,3)</f>
        <v>函数宝典,函数宝典,函数宝典,</v>
      </c>
      <c r="E117" s="113"/>
      <c r="F117" s="107"/>
      <c r="G117" s="108" t="s">
        <v>5849</v>
      </c>
      <c r="H117" s="93"/>
    </row>
    <row r="118" spans="1:11" ht="16.5" customHeight="1">
      <c r="B118" s="93"/>
      <c r="C118" s="93"/>
      <c r="D118" s="93"/>
      <c r="E118" s="93"/>
      <c r="F118" s="170"/>
      <c r="G118" s="93"/>
      <c r="H118" s="93"/>
    </row>
    <row r="119" spans="1:11" ht="16.5" customHeight="1">
      <c r="B119" s="93"/>
      <c r="C119" s="93"/>
      <c r="D119" s="93"/>
      <c r="E119" s="93"/>
      <c r="F119" s="93"/>
      <c r="G119" s="93"/>
      <c r="H119" s="93"/>
    </row>
    <row r="120" spans="1:11" ht="16.5" customHeight="1">
      <c r="A120" s="94" t="s">
        <v>1244</v>
      </c>
      <c r="B120" s="93" t="s">
        <v>1773</v>
      </c>
      <c r="C120" s="93"/>
      <c r="D120" s="93"/>
      <c r="E120" s="93"/>
      <c r="F120" s="93"/>
      <c r="G120" s="93"/>
      <c r="H120" s="93"/>
    </row>
    <row r="121" spans="1:11" ht="16.5" customHeight="1">
      <c r="B121" s="93"/>
      <c r="C121" s="93"/>
      <c r="D121" s="93"/>
      <c r="E121" s="93"/>
      <c r="F121" s="93"/>
      <c r="G121" s="93"/>
      <c r="H121" s="93"/>
    </row>
    <row r="122" spans="1:11" ht="16.5" customHeight="1">
      <c r="B122" s="578" t="s">
        <v>3535</v>
      </c>
      <c r="C122" s="578"/>
      <c r="D122" s="578"/>
      <c r="E122" s="578"/>
      <c r="F122" s="578"/>
      <c r="G122" s="578"/>
      <c r="H122" s="578"/>
    </row>
    <row r="123" spans="1:11" ht="16.5" customHeight="1">
      <c r="B123" s="95" t="s">
        <v>1246</v>
      </c>
      <c r="C123" s="96" t="s">
        <v>1607</v>
      </c>
      <c r="D123" s="213">
        <v>40544</v>
      </c>
      <c r="E123" s="213">
        <v>40545</v>
      </c>
      <c r="F123" s="96" t="s">
        <v>3536</v>
      </c>
      <c r="G123" s="504" t="s">
        <v>3571</v>
      </c>
      <c r="H123" s="505"/>
    </row>
    <row r="124" spans="1:11" ht="16.5" customHeight="1">
      <c r="B124" s="111" t="s">
        <v>1375</v>
      </c>
      <c r="C124" s="100"/>
      <c r="D124" s="100" t="s">
        <v>1375</v>
      </c>
      <c r="E124" s="110"/>
      <c r="F124" s="214"/>
      <c r="G124" s="528" t="s">
        <v>3572</v>
      </c>
      <c r="H124" s="529"/>
      <c r="I124" s="104" t="s">
        <v>1238</v>
      </c>
      <c r="J124" s="104"/>
      <c r="K124" s="104" t="s">
        <v>27</v>
      </c>
    </row>
    <row r="125" spans="1:11" ht="16.5" customHeight="1">
      <c r="B125" s="215" t="s">
        <v>1850</v>
      </c>
      <c r="C125" s="216" t="s">
        <v>1618</v>
      </c>
      <c r="D125" s="110">
        <v>562</v>
      </c>
      <c r="E125" s="110">
        <v>366</v>
      </c>
      <c r="F125" s="110">
        <f>SUM(D125:E125)</f>
        <v>928</v>
      </c>
      <c r="G125" s="668" t="str">
        <f>REPT("★",F125/200)</f>
        <v>★★★★</v>
      </c>
      <c r="H125" s="669"/>
      <c r="I125" s="108" t="s">
        <v>5850</v>
      </c>
      <c r="K125" s="93" t="s">
        <v>3573</v>
      </c>
    </row>
    <row r="126" spans="1:11" ht="16.5" customHeight="1">
      <c r="B126" s="215" t="s">
        <v>1852</v>
      </c>
      <c r="C126" s="216" t="s">
        <v>1612</v>
      </c>
      <c r="D126" s="110">
        <v>456</v>
      </c>
      <c r="E126" s="110">
        <v>372</v>
      </c>
      <c r="F126" s="110">
        <f t="shared" ref="F126:F134" si="0">SUM(D126:E126)</f>
        <v>828</v>
      </c>
      <c r="G126" s="668" t="str">
        <f>REPT(G124,F126/200)</f>
        <v>★★★★</v>
      </c>
      <c r="H126" s="669"/>
      <c r="I126" s="108" t="s">
        <v>5851</v>
      </c>
      <c r="K126" s="93" t="s">
        <v>3574</v>
      </c>
    </row>
    <row r="127" spans="1:11" ht="16.5" customHeight="1">
      <c r="B127" s="215" t="s">
        <v>1851</v>
      </c>
      <c r="C127" s="216" t="s">
        <v>1612</v>
      </c>
      <c r="D127" s="110">
        <v>412</v>
      </c>
      <c r="E127" s="110">
        <v>329</v>
      </c>
      <c r="F127" s="110">
        <f t="shared" si="0"/>
        <v>741</v>
      </c>
      <c r="G127" s="668" t="str">
        <f t="shared" ref="G127:G134" si="1">REPT("★",F127/200)</f>
        <v>★★★</v>
      </c>
      <c r="H127" s="669"/>
      <c r="I127" s="93"/>
    </row>
    <row r="128" spans="1:11" ht="16.5" customHeight="1">
      <c r="B128" s="215" t="s">
        <v>1849</v>
      </c>
      <c r="C128" s="216" t="s">
        <v>1618</v>
      </c>
      <c r="D128" s="110">
        <v>231</v>
      </c>
      <c r="E128" s="110">
        <v>188</v>
      </c>
      <c r="F128" s="110">
        <f t="shared" si="0"/>
        <v>419</v>
      </c>
      <c r="G128" s="668" t="str">
        <f t="shared" si="1"/>
        <v>★★</v>
      </c>
      <c r="H128" s="669"/>
      <c r="I128" s="93"/>
    </row>
    <row r="129" spans="2:9" ht="16.5" customHeight="1">
      <c r="B129" s="215" t="s">
        <v>1848</v>
      </c>
      <c r="C129" s="216" t="s">
        <v>1618</v>
      </c>
      <c r="D129" s="110">
        <v>451</v>
      </c>
      <c r="E129" s="110">
        <v>356</v>
      </c>
      <c r="F129" s="110">
        <f t="shared" si="0"/>
        <v>807</v>
      </c>
      <c r="G129" s="668" t="str">
        <f t="shared" si="1"/>
        <v>★★★★</v>
      </c>
      <c r="H129" s="669"/>
      <c r="I129" s="93"/>
    </row>
    <row r="130" spans="2:9" ht="16.5" customHeight="1">
      <c r="B130" s="215" t="s">
        <v>1854</v>
      </c>
      <c r="C130" s="216" t="s">
        <v>1618</v>
      </c>
      <c r="D130" s="110">
        <v>362</v>
      </c>
      <c r="E130" s="110">
        <v>150</v>
      </c>
      <c r="F130" s="110">
        <f t="shared" si="0"/>
        <v>512</v>
      </c>
      <c r="G130" s="668" t="str">
        <f t="shared" si="1"/>
        <v>★★</v>
      </c>
      <c r="H130" s="669"/>
      <c r="I130" s="93"/>
    </row>
    <row r="131" spans="2:9" ht="16.5" customHeight="1">
      <c r="B131" s="215" t="s">
        <v>1847</v>
      </c>
      <c r="C131" s="216" t="s">
        <v>1618</v>
      </c>
      <c r="D131" s="110">
        <v>862</v>
      </c>
      <c r="E131" s="110">
        <v>596</v>
      </c>
      <c r="F131" s="110">
        <f t="shared" si="0"/>
        <v>1458</v>
      </c>
      <c r="G131" s="668" t="str">
        <f t="shared" si="1"/>
        <v>★★★★★★★</v>
      </c>
      <c r="H131" s="669"/>
      <c r="I131" s="93"/>
    </row>
    <row r="132" spans="2:9" ht="16.5" customHeight="1">
      <c r="B132" s="215" t="s">
        <v>1843</v>
      </c>
      <c r="C132" s="216" t="s">
        <v>1618</v>
      </c>
      <c r="D132" s="110">
        <v>308</v>
      </c>
      <c r="E132" s="110">
        <v>428</v>
      </c>
      <c r="F132" s="110">
        <f t="shared" si="0"/>
        <v>736</v>
      </c>
      <c r="G132" s="668" t="str">
        <f t="shared" si="1"/>
        <v>★★★</v>
      </c>
      <c r="H132" s="669"/>
      <c r="I132" s="93"/>
    </row>
    <row r="133" spans="2:9" ht="16.5" customHeight="1">
      <c r="B133" s="215" t="s">
        <v>1845</v>
      </c>
      <c r="C133" s="216" t="s">
        <v>1618</v>
      </c>
      <c r="D133" s="110">
        <v>265</v>
      </c>
      <c r="E133" s="110">
        <v>168</v>
      </c>
      <c r="F133" s="110">
        <f t="shared" si="0"/>
        <v>433</v>
      </c>
      <c r="G133" s="668" t="str">
        <f t="shared" si="1"/>
        <v>★★</v>
      </c>
      <c r="H133" s="669"/>
      <c r="I133" s="93"/>
    </row>
    <row r="134" spans="2:9" ht="16.5" customHeight="1">
      <c r="B134" s="215" t="s">
        <v>1853</v>
      </c>
      <c r="C134" s="216" t="s">
        <v>1618</v>
      </c>
      <c r="D134" s="110">
        <v>256</v>
      </c>
      <c r="E134" s="110">
        <v>98</v>
      </c>
      <c r="F134" s="110">
        <f t="shared" si="0"/>
        <v>354</v>
      </c>
      <c r="G134" s="668" t="str">
        <f t="shared" si="1"/>
        <v>★</v>
      </c>
      <c r="H134" s="669"/>
      <c r="I134" s="93"/>
    </row>
    <row r="135" spans="2:9" ht="16.5" customHeight="1">
      <c r="B135" s="151" t="s">
        <v>1375</v>
      </c>
      <c r="C135" s="106"/>
      <c r="D135" s="106" t="s">
        <v>1375</v>
      </c>
      <c r="E135" s="113"/>
      <c r="F135" s="113"/>
      <c r="G135" s="670"/>
      <c r="H135" s="671"/>
      <c r="I135" s="93"/>
    </row>
    <row r="136" spans="2:9" ht="16.5" customHeight="1"/>
    <row r="137" spans="2:9" ht="16.5" customHeight="1"/>
    <row r="200" spans="1:13" s="88" customFormat="1" ht="26.25" customHeight="1">
      <c r="A200" s="498" t="s">
        <v>384</v>
      </c>
      <c r="B200" s="498"/>
      <c r="C200" s="499"/>
      <c r="D200" s="87"/>
      <c r="E200" s="500" t="str">
        <f>HYPERLINK("#目录!A225","跳转回到目录页")</f>
        <v>跳转回到目录页</v>
      </c>
      <c r="F200" s="501"/>
    </row>
    <row r="201" spans="1:13" s="88" customFormat="1" ht="26.25" customHeight="1">
      <c r="A201" s="502" t="s">
        <v>1216</v>
      </c>
      <c r="B201" s="502"/>
      <c r="C201" s="503" t="s">
        <v>385</v>
      </c>
      <c r="D201" s="503"/>
      <c r="E201" s="503"/>
      <c r="F201" s="503"/>
      <c r="G201" s="503"/>
      <c r="H201" s="503"/>
      <c r="I201" s="503"/>
      <c r="J201" s="503"/>
      <c r="K201" s="503"/>
      <c r="L201" s="503"/>
      <c r="M201" s="503"/>
    </row>
    <row r="202" spans="1:13" s="88" customFormat="1" ht="16.5" customHeight="1">
      <c r="A202" s="496" t="s">
        <v>1217</v>
      </c>
      <c r="B202" s="496"/>
      <c r="C202" s="493" t="s">
        <v>3575</v>
      </c>
      <c r="D202" s="493"/>
      <c r="E202" s="493"/>
      <c r="F202" s="493"/>
      <c r="G202" s="493"/>
      <c r="H202" s="493"/>
      <c r="I202" s="493"/>
      <c r="J202" s="493"/>
      <c r="K202" s="493"/>
      <c r="L202" s="493"/>
      <c r="M202" s="493"/>
    </row>
    <row r="203" spans="1:13" s="88" customFormat="1" ht="16.5" customHeight="1">
      <c r="A203" s="496" t="s">
        <v>5786</v>
      </c>
      <c r="B203" s="496"/>
      <c r="C203" s="497" t="s">
        <v>5852</v>
      </c>
      <c r="D203" s="497"/>
      <c r="E203" s="497"/>
      <c r="F203" s="497"/>
      <c r="G203" s="497"/>
      <c r="H203" s="497"/>
      <c r="I203" s="497"/>
      <c r="J203" s="497"/>
      <c r="K203" s="497"/>
      <c r="L203" s="497"/>
      <c r="M203" s="497"/>
    </row>
    <row r="204" spans="1:13" s="88" customFormat="1" ht="16.5" customHeight="1">
      <c r="A204" s="496" t="s">
        <v>1220</v>
      </c>
      <c r="B204" s="496"/>
      <c r="C204" s="493" t="s">
        <v>3576</v>
      </c>
      <c r="D204" s="493"/>
      <c r="E204" s="493"/>
      <c r="F204" s="493"/>
      <c r="G204" s="493"/>
      <c r="H204" s="493"/>
      <c r="I204" s="493"/>
      <c r="J204" s="493"/>
      <c r="K204" s="493"/>
      <c r="L204" s="493"/>
      <c r="M204" s="493"/>
    </row>
    <row r="205" spans="1:13" s="88" customFormat="1" ht="16.5" customHeight="1">
      <c r="A205" s="496" t="s">
        <v>5785</v>
      </c>
      <c r="B205" s="496"/>
      <c r="C205" s="493" t="s">
        <v>3577</v>
      </c>
      <c r="D205" s="493"/>
      <c r="E205" s="493"/>
      <c r="F205" s="493"/>
      <c r="G205" s="493"/>
      <c r="H205" s="493"/>
      <c r="I205" s="493"/>
      <c r="J205" s="493"/>
      <c r="K205" s="493"/>
      <c r="L205" s="493"/>
      <c r="M205" s="493"/>
    </row>
    <row r="206" spans="1:13" s="88" customFormat="1" ht="16.5" customHeight="1">
      <c r="A206" s="89" t="s">
        <v>1223</v>
      </c>
      <c r="B206" s="92" t="s">
        <v>3299</v>
      </c>
      <c r="C206" s="493" t="s">
        <v>3578</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493"/>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A214" s="93"/>
      <c r="B214" s="93"/>
      <c r="C214" s="93"/>
      <c r="D214" s="93"/>
      <c r="E214" s="93"/>
      <c r="F214" s="93"/>
      <c r="G214" s="93"/>
      <c r="H214" s="93"/>
      <c r="I214" s="93"/>
      <c r="J214" s="93"/>
      <c r="K214" s="93"/>
    </row>
    <row r="215" spans="1:13" ht="16.5" customHeight="1">
      <c r="A215" s="93"/>
      <c r="B215" s="93"/>
      <c r="C215" s="549" t="s">
        <v>3579</v>
      </c>
      <c r="D215" s="549"/>
      <c r="E215" s="518" t="s">
        <v>3580</v>
      </c>
      <c r="F215" s="518"/>
      <c r="G215" s="104" t="s">
        <v>1238</v>
      </c>
      <c r="H215" s="93"/>
      <c r="I215" s="93"/>
      <c r="J215" s="93"/>
      <c r="K215" s="93"/>
    </row>
    <row r="216" spans="1:13" ht="16.5" customHeight="1">
      <c r="A216" s="93"/>
      <c r="C216" s="667" t="s">
        <v>3581</v>
      </c>
      <c r="D216" s="667"/>
      <c r="E216" s="549" t="str">
        <f>T(C216)</f>
        <v>1163077177@QQ.COM</v>
      </c>
      <c r="F216" s="549"/>
      <c r="G216" s="108" t="s">
        <v>3582</v>
      </c>
      <c r="H216" s="93"/>
      <c r="I216" s="93"/>
      <c r="J216" s="93"/>
      <c r="K216" s="93"/>
    </row>
    <row r="217" spans="1:13" ht="16.5" customHeight="1">
      <c r="A217" s="93"/>
      <c r="B217" s="93"/>
      <c r="C217" s="549" t="s">
        <v>5787</v>
      </c>
      <c r="D217" s="549"/>
      <c r="E217" s="549"/>
      <c r="F217" s="549"/>
      <c r="G217" s="158"/>
      <c r="H217" s="93"/>
      <c r="I217" s="93"/>
      <c r="J217" s="93"/>
      <c r="K217" s="93"/>
    </row>
    <row r="218" spans="1:13" ht="16.5" customHeight="1">
      <c r="A218" s="93"/>
      <c r="B218" s="93"/>
      <c r="C218" s="219" t="str">
        <f>HYPERLINK("http://blog.sina.com.cn/excelbd",C217)</f>
        <v>的博客</v>
      </c>
      <c r="D218" s="93"/>
      <c r="E218" s="549" t="str">
        <f>T(C218)</f>
        <v>的博客</v>
      </c>
      <c r="F218" s="549"/>
      <c r="G218" s="108" t="s">
        <v>3583</v>
      </c>
      <c r="H218" s="93"/>
      <c r="I218" s="93"/>
      <c r="J218" s="93"/>
      <c r="K218" s="93"/>
    </row>
    <row r="219" spans="1:13" ht="16.5" customHeight="1">
      <c r="A219" s="93"/>
      <c r="B219" s="93"/>
      <c r="C219" s="219"/>
      <c r="D219" s="201"/>
      <c r="E219" s="201"/>
      <c r="F219" s="201"/>
      <c r="G219" s="93"/>
      <c r="H219" s="93"/>
      <c r="I219" s="93"/>
      <c r="J219" s="93"/>
      <c r="K219" s="93"/>
    </row>
    <row r="220" spans="1:13" ht="16.5" customHeight="1">
      <c r="A220" s="93"/>
      <c r="B220" s="93"/>
      <c r="C220" s="93"/>
      <c r="D220" s="93"/>
      <c r="E220" s="93"/>
      <c r="F220" s="93"/>
      <c r="G220" s="93"/>
      <c r="H220" s="93"/>
      <c r="I220" s="93"/>
      <c r="J220" s="93"/>
      <c r="K220" s="93"/>
    </row>
    <row r="221" spans="1:13" ht="16.5" customHeight="1">
      <c r="A221" s="93"/>
      <c r="B221" s="93"/>
      <c r="C221" s="93"/>
      <c r="D221" s="93"/>
      <c r="E221" s="93"/>
      <c r="F221" s="93"/>
      <c r="G221" s="93"/>
      <c r="H221" s="93"/>
      <c r="I221" s="93"/>
      <c r="J221" s="93"/>
      <c r="K221" s="93"/>
    </row>
    <row r="222" spans="1:13" ht="16.5" customHeight="1">
      <c r="A222" s="93"/>
      <c r="B222" s="93"/>
      <c r="C222" s="93"/>
      <c r="D222" s="93"/>
      <c r="E222" s="93"/>
      <c r="F222" s="93"/>
      <c r="G222" s="93"/>
      <c r="H222" s="93"/>
      <c r="I222" s="93"/>
      <c r="J222" s="93"/>
    </row>
  </sheetData>
  <mergeCells count="90">
    <mergeCell ref="A1:C1"/>
    <mergeCell ref="E1:F1"/>
    <mergeCell ref="A2:B2"/>
    <mergeCell ref="C2:M2"/>
    <mergeCell ref="A3:B3"/>
    <mergeCell ref="C3:M3"/>
    <mergeCell ref="A4:B4"/>
    <mergeCell ref="C4:M4"/>
    <mergeCell ref="A5:B5"/>
    <mergeCell ref="C5:M5"/>
    <mergeCell ref="A6:B6"/>
    <mergeCell ref="C6:M6"/>
    <mergeCell ref="B19:C19"/>
    <mergeCell ref="D19:E19"/>
    <mergeCell ref="C7:M7"/>
    <mergeCell ref="C8:M8"/>
    <mergeCell ref="C9:M9"/>
    <mergeCell ref="B10:M10"/>
    <mergeCell ref="B11:M11"/>
    <mergeCell ref="B12:L12"/>
    <mergeCell ref="B16:E16"/>
    <mergeCell ref="B17:C17"/>
    <mergeCell ref="D17:E17"/>
    <mergeCell ref="B18:C18"/>
    <mergeCell ref="D18:E18"/>
    <mergeCell ref="B20:C20"/>
    <mergeCell ref="D20:E20"/>
    <mergeCell ref="B21:C21"/>
    <mergeCell ref="D21:E21"/>
    <mergeCell ref="B22:C22"/>
    <mergeCell ref="D22:E22"/>
    <mergeCell ref="A100:C100"/>
    <mergeCell ref="E100:F100"/>
    <mergeCell ref="A101:B101"/>
    <mergeCell ref="C101:M101"/>
    <mergeCell ref="A102:B102"/>
    <mergeCell ref="C102:M102"/>
    <mergeCell ref="A103:B103"/>
    <mergeCell ref="C103:M103"/>
    <mergeCell ref="A104:B104"/>
    <mergeCell ref="C104:M104"/>
    <mergeCell ref="A105:B105"/>
    <mergeCell ref="C105:M105"/>
    <mergeCell ref="G126:H126"/>
    <mergeCell ref="C106:M106"/>
    <mergeCell ref="C107:M107"/>
    <mergeCell ref="C108:M108"/>
    <mergeCell ref="B109:M109"/>
    <mergeCell ref="B110:M110"/>
    <mergeCell ref="B111:L111"/>
    <mergeCell ref="D115:F115"/>
    <mergeCell ref="B122:H122"/>
    <mergeCell ref="G123:H123"/>
    <mergeCell ref="G124:H124"/>
    <mergeCell ref="G125:H125"/>
    <mergeCell ref="A201:B201"/>
    <mergeCell ref="C201:M201"/>
    <mergeCell ref="G127:H127"/>
    <mergeCell ref="G128:H128"/>
    <mergeCell ref="G129:H129"/>
    <mergeCell ref="G130:H130"/>
    <mergeCell ref="G131:H131"/>
    <mergeCell ref="G132:H132"/>
    <mergeCell ref="G133:H133"/>
    <mergeCell ref="G134:H134"/>
    <mergeCell ref="G135:H135"/>
    <mergeCell ref="A200:C200"/>
    <mergeCell ref="E200:F200"/>
    <mergeCell ref="A202:B202"/>
    <mergeCell ref="C202:M202"/>
    <mergeCell ref="A203:B203"/>
    <mergeCell ref="C203:M203"/>
    <mergeCell ref="A204:B204"/>
    <mergeCell ref="C204:M204"/>
    <mergeCell ref="C217:D217"/>
    <mergeCell ref="E217:F217"/>
    <mergeCell ref="E218:F218"/>
    <mergeCell ref="I16:K17"/>
    <mergeCell ref="B210:M210"/>
    <mergeCell ref="B211:L211"/>
    <mergeCell ref="C215:D215"/>
    <mergeCell ref="E215:F215"/>
    <mergeCell ref="C216:D216"/>
    <mergeCell ref="E216:F216"/>
    <mergeCell ref="A205:B205"/>
    <mergeCell ref="C205:M205"/>
    <mergeCell ref="C206:M206"/>
    <mergeCell ref="C207:M207"/>
    <mergeCell ref="C208:M208"/>
    <mergeCell ref="B209:M209"/>
  </mergeCells>
  <phoneticPr fontId="2" type="noConversion"/>
  <hyperlinks>
    <hyperlink ref="C216" r:id="rId1" xr:uid="{00000000-0004-0000-3600-000000000000}"/>
  </hyperlinks>
  <pageMargins left="0.75" right="0.75" top="1" bottom="1" header="0.5" footer="0.5"/>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AV48"/>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401</v>
      </c>
      <c r="B1" s="498"/>
      <c r="C1" s="499"/>
      <c r="D1" s="87"/>
      <c r="E1" s="500" t="str">
        <f>HYPERLINK("#目录!A236","跳转回到目录页")</f>
        <v>跳转回到目录页</v>
      </c>
      <c r="F1" s="501"/>
    </row>
    <row r="2" spans="1:48" s="88" customFormat="1" ht="26.25" customHeight="1">
      <c r="A2" s="502" t="s">
        <v>1216</v>
      </c>
      <c r="B2" s="502"/>
      <c r="C2" s="503" t="s">
        <v>402</v>
      </c>
      <c r="D2" s="503"/>
      <c r="E2" s="503"/>
      <c r="F2" s="503"/>
      <c r="G2" s="503"/>
      <c r="H2" s="503"/>
      <c r="I2" s="503"/>
      <c r="J2" s="503"/>
      <c r="K2" s="503"/>
      <c r="L2" s="503"/>
      <c r="M2" s="503"/>
    </row>
    <row r="3" spans="1:48" s="88" customFormat="1" ht="24.75" customHeight="1">
      <c r="A3" s="496" t="s">
        <v>1217</v>
      </c>
      <c r="B3" s="496"/>
      <c r="C3" s="493" t="s">
        <v>3584</v>
      </c>
      <c r="D3" s="493"/>
      <c r="E3" s="493"/>
      <c r="F3" s="493"/>
      <c r="G3" s="493"/>
      <c r="H3" s="493"/>
      <c r="I3" s="493"/>
      <c r="J3" s="493"/>
      <c r="K3" s="493"/>
      <c r="L3" s="493"/>
      <c r="M3" s="493"/>
    </row>
    <row r="4" spans="1:48" s="88" customFormat="1" ht="16.5" customHeight="1">
      <c r="A4" s="496" t="s">
        <v>5786</v>
      </c>
      <c r="B4" s="496"/>
      <c r="C4" s="497" t="s">
        <v>402</v>
      </c>
      <c r="D4" s="497"/>
      <c r="E4" s="497"/>
      <c r="F4" s="497"/>
      <c r="G4" s="497"/>
      <c r="H4" s="497"/>
      <c r="I4" s="497"/>
      <c r="J4" s="497"/>
      <c r="K4" s="497"/>
      <c r="L4" s="497"/>
      <c r="M4" s="497"/>
    </row>
    <row r="5" spans="1:48" s="88" customFormat="1" ht="16.5" customHeight="1">
      <c r="A5" s="496" t="s">
        <v>1220</v>
      </c>
      <c r="B5" s="496"/>
      <c r="C5" s="493" t="s">
        <v>3585</v>
      </c>
      <c r="D5" s="493"/>
      <c r="E5" s="493"/>
      <c r="F5" s="493"/>
      <c r="G5" s="493"/>
      <c r="H5" s="493"/>
      <c r="I5" s="493"/>
      <c r="J5" s="493"/>
      <c r="K5" s="493"/>
      <c r="L5" s="493"/>
      <c r="M5" s="493"/>
    </row>
    <row r="6" spans="1:48" s="88" customFormat="1" ht="16.5" customHeight="1">
      <c r="A6" s="496" t="s">
        <v>5785</v>
      </c>
      <c r="B6" s="496"/>
      <c r="C6" s="493" t="s">
        <v>3586</v>
      </c>
      <c r="D6" s="493"/>
      <c r="E6" s="493"/>
      <c r="F6" s="493"/>
      <c r="G6" s="493"/>
      <c r="H6" s="493"/>
      <c r="I6" s="493"/>
      <c r="J6" s="493"/>
      <c r="K6" s="493"/>
      <c r="L6" s="493"/>
      <c r="M6" s="493"/>
    </row>
    <row r="7" spans="1:48" s="88" customFormat="1" ht="16.5" customHeight="1">
      <c r="A7" s="89" t="s">
        <v>1223</v>
      </c>
      <c r="B7" s="92" t="s">
        <v>2568</v>
      </c>
      <c r="C7" s="493" t="s">
        <v>3587</v>
      </c>
      <c r="D7" s="493"/>
      <c r="E7" s="493"/>
      <c r="F7" s="493"/>
      <c r="G7" s="493"/>
      <c r="H7" s="493"/>
      <c r="I7" s="493"/>
      <c r="J7" s="493"/>
      <c r="K7" s="493"/>
      <c r="L7" s="493"/>
      <c r="M7" s="493"/>
    </row>
    <row r="8" spans="1:48" s="88" customFormat="1" ht="16.5" customHeight="1">
      <c r="A8" s="89"/>
      <c r="B8" s="92" t="s">
        <v>3588</v>
      </c>
      <c r="C8" s="493" t="s">
        <v>3589</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24.75" customHeight="1">
      <c r="A10" s="89" t="s">
        <v>1228</v>
      </c>
      <c r="B10" s="493" t="s">
        <v>3590</v>
      </c>
      <c r="C10" s="493"/>
      <c r="D10" s="493"/>
      <c r="E10" s="493"/>
      <c r="F10" s="493"/>
      <c r="G10" s="493"/>
      <c r="H10" s="493"/>
      <c r="I10" s="493"/>
      <c r="J10" s="493"/>
      <c r="K10" s="493"/>
      <c r="L10" s="493"/>
      <c r="M10" s="493"/>
    </row>
    <row r="11" spans="1:48" ht="16.5" customHeight="1">
      <c r="A11" s="89" t="s">
        <v>1229</v>
      </c>
      <c r="B11" s="493" t="s">
        <v>3591</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C15" s="4" t="s">
        <v>3592</v>
      </c>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C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1861</v>
      </c>
      <c r="C17" s="51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1246</v>
      </c>
      <c r="C18" s="97" t="s">
        <v>3593</v>
      </c>
      <c r="G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1843</v>
      </c>
      <c r="C19" s="101">
        <v>56</v>
      </c>
      <c r="E19" s="94" t="s">
        <v>3594</v>
      </c>
      <c r="F19" s="93">
        <f>TRIMMEAN(C19:C30,0.2)</f>
        <v>69.625</v>
      </c>
      <c r="G19" s="108" t="s">
        <v>3595</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1845</v>
      </c>
      <c r="C20" s="101">
        <v>72</v>
      </c>
      <c r="E20" s="94" t="s">
        <v>3596</v>
      </c>
      <c r="F20" s="93">
        <f>AVERAGE(C19:C30)</f>
        <v>70.7</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1847</v>
      </c>
      <c r="C21" s="101">
        <v>71</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1848</v>
      </c>
      <c r="C22" s="101">
        <v>68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1849</v>
      </c>
      <c r="C23" s="101">
        <v>70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1850</v>
      </c>
      <c r="C24" s="101">
        <v>85</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1851</v>
      </c>
      <c r="C25" s="101">
        <v>61</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3597</v>
      </c>
      <c r="C26" s="101">
        <v>98</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3598</v>
      </c>
      <c r="C27" s="101">
        <v>52</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51" t="s">
        <v>1852</v>
      </c>
      <c r="C28" s="107">
        <v>74</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4"/>
      <c r="C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4"/>
      <c r="C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A31" s="94" t="s">
        <v>1244</v>
      </c>
      <c r="B31" s="93" t="s">
        <v>3599</v>
      </c>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B33" s="93" t="s">
        <v>3600</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93" t="s">
        <v>3601</v>
      </c>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B35" s="207">
        <v>8.6</v>
      </c>
      <c r="D35" s="93" t="s">
        <v>3602</v>
      </c>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B36" s="196">
        <v>8.9</v>
      </c>
      <c r="D36" s="93" t="s">
        <v>3603</v>
      </c>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B37" s="196">
        <v>8.5</v>
      </c>
      <c r="D37" s="93">
        <f>2/COUNTA(B35:B43)</f>
        <v>0.22222222222222221</v>
      </c>
      <c r="E37" s="104" t="s">
        <v>1238</v>
      </c>
      <c r="F37" s="108" t="s">
        <v>3604</v>
      </c>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B38" s="196">
        <v>9.6</v>
      </c>
      <c r="D38" s="93" t="s">
        <v>3605</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B39" s="196">
        <v>9.4</v>
      </c>
      <c r="D39" s="93">
        <f>TRIMMEAN(B35:B43,2/COUNTA(B35:B43))</f>
        <v>9.1428571428571423</v>
      </c>
      <c r="E39" s="104" t="s">
        <v>1238</v>
      </c>
      <c r="F39" s="108" t="s">
        <v>3606</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196">
        <v>9.1</v>
      </c>
      <c r="D40" s="93" t="s">
        <v>3607</v>
      </c>
      <c r="E40" s="94" t="s">
        <v>3608</v>
      </c>
      <c r="F40" s="94" t="s">
        <v>3609</v>
      </c>
      <c r="G40" s="94" t="s">
        <v>3610</v>
      </c>
      <c r="H40" s="93" t="s">
        <v>3611</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196">
        <v>9.6</v>
      </c>
      <c r="E41" s="93">
        <f>MAX(B35:B43)</f>
        <v>9.6</v>
      </c>
      <c r="F41" s="93">
        <f>MIN(B35:B43)</f>
        <v>8.5</v>
      </c>
      <c r="G41" s="93">
        <f>SUM(B35:B43)</f>
        <v>82.1</v>
      </c>
      <c r="H41" s="93">
        <f>G41-F41-E41</f>
        <v>63.999999999999993</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196">
        <v>8.8000000000000007</v>
      </c>
      <c r="D42" s="93" t="s">
        <v>3612</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115">
        <v>9.6</v>
      </c>
      <c r="D43" s="93">
        <f>64/7</f>
        <v>9.1428571428571423</v>
      </c>
      <c r="E43" s="93" t="s">
        <v>3613</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sheetData>
  <mergeCells count="19">
    <mergeCell ref="A1:C1"/>
    <mergeCell ref="E1:F1"/>
    <mergeCell ref="A2:B2"/>
    <mergeCell ref="C2:M2"/>
    <mergeCell ref="A3:B3"/>
    <mergeCell ref="C3:M3"/>
    <mergeCell ref="A4:B4"/>
    <mergeCell ref="C4:M4"/>
    <mergeCell ref="A5:B5"/>
    <mergeCell ref="C5:M5"/>
    <mergeCell ref="A6:B6"/>
    <mergeCell ref="C6:M6"/>
    <mergeCell ref="B17:C17"/>
    <mergeCell ref="C7:M7"/>
    <mergeCell ref="C8:M8"/>
    <mergeCell ref="C9:M9"/>
    <mergeCell ref="B10:M10"/>
    <mergeCell ref="B11:M11"/>
    <mergeCell ref="B12:L12"/>
  </mergeCells>
  <phoneticPr fontId="2" type="noConversion"/>
  <pageMargins left="0.75" right="0.75" top="1" bottom="1" header="0.5" footer="0.5"/>
  <pageSetup paperSize="9" orientation="portrait" horizontalDpi="0" verticalDpi="0"/>
  <headerFooter scaleWithDoc="0"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dimension ref="A1:AV228"/>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391</v>
      </c>
      <c r="B1" s="498"/>
      <c r="C1" s="499"/>
      <c r="D1" s="87"/>
      <c r="E1" s="500" t="str">
        <f>HYPERLINK("#目录!A230","跳转回到目录页")</f>
        <v>跳转回到目录页</v>
      </c>
      <c r="F1" s="501"/>
    </row>
    <row r="2" spans="1:48" s="88" customFormat="1" ht="26.25" customHeight="1">
      <c r="A2" s="502" t="s">
        <v>1216</v>
      </c>
      <c r="B2" s="502"/>
      <c r="C2" s="503" t="s">
        <v>392</v>
      </c>
      <c r="D2" s="503"/>
      <c r="E2" s="503"/>
      <c r="F2" s="503"/>
      <c r="G2" s="503"/>
      <c r="H2" s="503"/>
      <c r="I2" s="503"/>
      <c r="J2" s="503"/>
      <c r="K2" s="503"/>
      <c r="L2" s="503"/>
      <c r="M2" s="503"/>
    </row>
    <row r="3" spans="1:48" s="88" customFormat="1" ht="16.5" customHeight="1">
      <c r="A3" s="496" t="s">
        <v>1217</v>
      </c>
      <c r="B3" s="496"/>
      <c r="C3" s="493" t="s">
        <v>3614</v>
      </c>
      <c r="D3" s="493"/>
      <c r="E3" s="493"/>
      <c r="F3" s="493"/>
      <c r="G3" s="493"/>
      <c r="H3" s="493"/>
      <c r="I3" s="493"/>
      <c r="J3" s="493"/>
      <c r="K3" s="493"/>
      <c r="L3" s="493"/>
      <c r="M3" s="493"/>
    </row>
    <row r="4" spans="1:48" s="88" customFormat="1" ht="16.5" customHeight="1">
      <c r="A4" s="496" t="s">
        <v>5786</v>
      </c>
      <c r="B4" s="496"/>
      <c r="C4" s="497" t="s">
        <v>3615</v>
      </c>
      <c r="D4" s="497"/>
      <c r="E4" s="497"/>
      <c r="F4" s="497"/>
      <c r="G4" s="497"/>
      <c r="H4" s="497"/>
      <c r="I4" s="497"/>
      <c r="J4" s="497"/>
      <c r="K4" s="497"/>
      <c r="L4" s="497"/>
      <c r="M4" s="497"/>
    </row>
    <row r="5" spans="1:48" s="88" customFormat="1" ht="16.5" customHeight="1">
      <c r="A5" s="496" t="s">
        <v>1220</v>
      </c>
      <c r="B5" s="496"/>
      <c r="C5" s="493" t="s">
        <v>3616</v>
      </c>
      <c r="D5" s="493"/>
      <c r="E5" s="493"/>
      <c r="F5" s="493"/>
      <c r="G5" s="493"/>
      <c r="H5" s="493"/>
      <c r="I5" s="493"/>
      <c r="J5" s="493"/>
      <c r="K5" s="493"/>
      <c r="L5" s="493"/>
      <c r="M5" s="493"/>
    </row>
    <row r="6" spans="1:48" s="88" customFormat="1" ht="16.5" customHeight="1">
      <c r="A6" s="496" t="s">
        <v>5785</v>
      </c>
      <c r="B6" s="496"/>
      <c r="C6" s="493" t="s">
        <v>3617</v>
      </c>
      <c r="D6" s="493"/>
      <c r="E6" s="493"/>
      <c r="F6" s="493"/>
      <c r="G6" s="493"/>
      <c r="H6" s="493"/>
      <c r="I6" s="493"/>
      <c r="J6" s="493"/>
      <c r="K6" s="493"/>
      <c r="L6" s="493"/>
      <c r="M6" s="493"/>
    </row>
    <row r="7" spans="1:48" s="88" customFormat="1" ht="16.5" customHeight="1">
      <c r="A7" s="89" t="s">
        <v>1223</v>
      </c>
      <c r="B7" s="92" t="s">
        <v>3299</v>
      </c>
      <c r="C7" s="493" t="s">
        <v>3618</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24.75" customHeight="1">
      <c r="A10" s="89" t="s">
        <v>1228</v>
      </c>
      <c r="B10" s="493" t="s">
        <v>3619</v>
      </c>
      <c r="C10" s="493"/>
      <c r="D10" s="493"/>
      <c r="E10" s="493"/>
      <c r="F10" s="493"/>
      <c r="G10" s="493"/>
      <c r="H10" s="493"/>
      <c r="I10" s="493"/>
      <c r="J10" s="493"/>
      <c r="K10" s="493"/>
      <c r="L10" s="493"/>
      <c r="M10" s="493"/>
    </row>
    <row r="11" spans="1:48" ht="16.5" customHeight="1">
      <c r="A11" s="89" t="s">
        <v>1229</v>
      </c>
      <c r="B11" s="493" t="s">
        <v>3620</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2713</v>
      </c>
      <c r="C17" s="518"/>
      <c r="D17" s="51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1246</v>
      </c>
      <c r="C18" s="96" t="s">
        <v>2714</v>
      </c>
      <c r="D18" s="97" t="s">
        <v>2715</v>
      </c>
      <c r="H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1375</v>
      </c>
      <c r="C19" s="100"/>
      <c r="D19" s="101"/>
      <c r="F19" s="93" t="s">
        <v>3621</v>
      </c>
      <c r="G19" s="93">
        <f>COUNT($C$19:$C$30)</f>
        <v>8</v>
      </c>
      <c r="H19" s="108" t="s">
        <v>3622</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1843</v>
      </c>
      <c r="C20" s="110">
        <v>86</v>
      </c>
      <c r="D20" s="101">
        <v>92</v>
      </c>
      <c r="G20" s="93">
        <f>COUNT($D$19:$D$30)</f>
        <v>7</v>
      </c>
      <c r="H20" s="108" t="s">
        <v>3623</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1845</v>
      </c>
      <c r="C21" s="110">
        <v>92</v>
      </c>
      <c r="D21" s="101">
        <v>95</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1847</v>
      </c>
      <c r="C22" s="110" t="s">
        <v>3624</v>
      </c>
      <c r="D22" s="101" t="s">
        <v>3624</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1848</v>
      </c>
      <c r="C23" s="110">
        <v>83</v>
      </c>
      <c r="D23" s="101">
        <v>86</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1849</v>
      </c>
      <c r="C24" s="110">
        <v>92</v>
      </c>
      <c r="D24" s="101">
        <v>93</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1850</v>
      </c>
      <c r="C25" s="110">
        <v>78</v>
      </c>
      <c r="D25" s="101">
        <v>82</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1851</v>
      </c>
      <c r="C26" s="110" t="s">
        <v>3624</v>
      </c>
      <c r="D26" s="101" t="s">
        <v>3624</v>
      </c>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1852</v>
      </c>
      <c r="C27" s="110">
        <v>94</v>
      </c>
      <c r="D27" s="101">
        <v>93</v>
      </c>
      <c r="G27" s="4"/>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1853</v>
      </c>
      <c r="C28" s="110">
        <v>89</v>
      </c>
      <c r="D28" s="101">
        <v>83</v>
      </c>
      <c r="G28" s="4"/>
      <c r="H28" s="4"/>
      <c r="I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1" t="s">
        <v>1854</v>
      </c>
      <c r="C29" s="110">
        <v>84</v>
      </c>
      <c r="D29" s="206" t="s">
        <v>3625</v>
      </c>
      <c r="E29" s="93" t="s">
        <v>3626</v>
      </c>
      <c r="G29" s="4"/>
      <c r="H29" s="4"/>
      <c r="I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51" t="s">
        <v>1375</v>
      </c>
      <c r="C30" s="106"/>
      <c r="D30" s="107"/>
      <c r="G30" s="4"/>
      <c r="H30" s="4"/>
      <c r="I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t="s">
        <v>1244</v>
      </c>
      <c r="B33" s="93" t="s">
        <v>3627</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B35" s="94" t="s">
        <v>2288</v>
      </c>
      <c r="C35" s="94" t="s">
        <v>27</v>
      </c>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B36" s="187" t="b">
        <v>1</v>
      </c>
      <c r="C36" s="138" t="s">
        <v>3628</v>
      </c>
      <c r="F36" s="104" t="s">
        <v>1238</v>
      </c>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B37" s="99" t="b">
        <v>0</v>
      </c>
      <c r="C37" s="101" t="s">
        <v>3628</v>
      </c>
      <c r="E37" s="93">
        <f>COUNT($B$36:$B$46)</f>
        <v>3</v>
      </c>
      <c r="F37" s="108" t="s">
        <v>3629</v>
      </c>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B38" s="99"/>
      <c r="C38" s="101" t="s">
        <v>3630</v>
      </c>
      <c r="F38" s="93" t="s">
        <v>3631</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B39" s="99" t="e">
        <f>1/0</f>
        <v>#DIV/0!</v>
      </c>
      <c r="C39" s="101" t="s">
        <v>3632</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141">
        <v>40850</v>
      </c>
      <c r="C40" s="101" t="s">
        <v>1371</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99">
        <v>88</v>
      </c>
      <c r="C41" s="101" t="s">
        <v>3633</v>
      </c>
      <c r="F41" s="148"/>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202" t="s">
        <v>3634</v>
      </c>
      <c r="C42" s="101" t="s">
        <v>3635</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B43" s="99" t="s">
        <v>1904</v>
      </c>
      <c r="C43" s="101" t="s">
        <v>3088</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B44" s="99" t="s">
        <v>3636</v>
      </c>
      <c r="C44" s="101" t="s">
        <v>3637</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B45" s="99">
        <f>SUM(1,2)</f>
        <v>3</v>
      </c>
      <c r="C45" s="101" t="s">
        <v>1431</v>
      </c>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B46" s="105" t="str">
        <f>""</f>
        <v/>
      </c>
      <c r="C46" s="203" t="s">
        <v>3638</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393</v>
      </c>
      <c r="B100" s="498"/>
      <c r="C100" s="499"/>
      <c r="D100" s="87"/>
      <c r="E100" s="500" t="str">
        <f>HYPERLINK("#目录!A231","跳转回到目录页")</f>
        <v>跳转回到目录页</v>
      </c>
      <c r="F100" s="501"/>
    </row>
    <row r="101" spans="1:13" s="88" customFormat="1" ht="26.25" customHeight="1">
      <c r="A101" s="502" t="s">
        <v>1216</v>
      </c>
      <c r="B101" s="502"/>
      <c r="C101" s="503" t="s">
        <v>390</v>
      </c>
      <c r="D101" s="503"/>
      <c r="E101" s="503"/>
      <c r="F101" s="503"/>
      <c r="G101" s="503"/>
      <c r="H101" s="503"/>
      <c r="I101" s="503"/>
      <c r="J101" s="503"/>
      <c r="K101" s="503"/>
      <c r="L101" s="503"/>
      <c r="M101" s="503"/>
    </row>
    <row r="102" spans="1:13" s="88" customFormat="1" ht="16.5" customHeight="1">
      <c r="A102" s="496" t="s">
        <v>1217</v>
      </c>
      <c r="B102" s="496"/>
      <c r="C102" s="493" t="s">
        <v>3639</v>
      </c>
      <c r="D102" s="493"/>
      <c r="E102" s="493"/>
      <c r="F102" s="493"/>
      <c r="G102" s="493"/>
      <c r="H102" s="493"/>
      <c r="I102" s="493"/>
      <c r="J102" s="493"/>
      <c r="K102" s="493"/>
      <c r="L102" s="493"/>
      <c r="M102" s="493"/>
    </row>
    <row r="103" spans="1:13" s="88" customFormat="1" ht="16.5" customHeight="1">
      <c r="A103" s="496" t="s">
        <v>5786</v>
      </c>
      <c r="B103" s="496"/>
      <c r="C103" s="497" t="s">
        <v>3640</v>
      </c>
      <c r="D103" s="497"/>
      <c r="E103" s="497"/>
      <c r="F103" s="497"/>
      <c r="G103" s="497"/>
      <c r="H103" s="497"/>
      <c r="I103" s="497"/>
      <c r="J103" s="497"/>
      <c r="K103" s="497"/>
      <c r="L103" s="497"/>
      <c r="M103" s="497"/>
    </row>
    <row r="104" spans="1:13" s="88" customFormat="1" ht="16.5" customHeight="1">
      <c r="A104" s="496" t="s">
        <v>1220</v>
      </c>
      <c r="B104" s="496"/>
      <c r="C104" s="493" t="s">
        <v>3641</v>
      </c>
      <c r="D104" s="493"/>
      <c r="E104" s="493"/>
      <c r="F104" s="493"/>
      <c r="G104" s="493"/>
      <c r="H104" s="493"/>
      <c r="I104" s="493"/>
      <c r="J104" s="493"/>
      <c r="K104" s="493"/>
      <c r="L104" s="493"/>
      <c r="M104" s="493"/>
    </row>
    <row r="105" spans="1:13" s="88" customFormat="1" ht="16.5" customHeight="1">
      <c r="A105" s="496" t="s">
        <v>5785</v>
      </c>
      <c r="B105" s="496"/>
      <c r="C105" s="493" t="s">
        <v>3642</v>
      </c>
      <c r="D105" s="493"/>
      <c r="E105" s="493"/>
      <c r="F105" s="493"/>
      <c r="G105" s="493"/>
      <c r="H105" s="493"/>
      <c r="I105" s="493"/>
      <c r="J105" s="493"/>
      <c r="K105" s="493"/>
      <c r="L105" s="493"/>
      <c r="M105" s="493"/>
    </row>
    <row r="106" spans="1:13" s="88" customFormat="1" ht="16.5" customHeight="1">
      <c r="A106" s="89" t="s">
        <v>1223</v>
      </c>
      <c r="B106" s="92" t="s">
        <v>3299</v>
      </c>
      <c r="C106" s="493" t="s">
        <v>3643</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24.75" customHeight="1">
      <c r="A109" s="89" t="s">
        <v>1228</v>
      </c>
      <c r="B109" s="493" t="s">
        <v>3644</v>
      </c>
      <c r="C109" s="493"/>
      <c r="D109" s="493"/>
      <c r="E109" s="493"/>
      <c r="F109" s="493"/>
      <c r="G109" s="493"/>
      <c r="H109" s="493"/>
      <c r="I109" s="493"/>
      <c r="J109" s="493"/>
      <c r="K109" s="493"/>
      <c r="L109" s="493"/>
      <c r="M109" s="493"/>
    </row>
    <row r="110" spans="1:13" ht="16.5" customHeight="1">
      <c r="A110" s="89" t="s">
        <v>1229</v>
      </c>
      <c r="B110" s="493"/>
      <c r="C110" s="493"/>
      <c r="D110" s="493"/>
      <c r="E110" s="493"/>
      <c r="F110" s="493"/>
      <c r="G110" s="493"/>
      <c r="H110" s="493"/>
      <c r="I110" s="493"/>
      <c r="J110" s="493"/>
      <c r="K110" s="493"/>
      <c r="L110" s="493"/>
      <c r="M110" s="493"/>
    </row>
    <row r="111" spans="1:13" ht="21" customHeight="1">
      <c r="B111" s="494" t="s">
        <v>1231</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row>
    <row r="114" spans="1:7" ht="16.5" customHeight="1"/>
    <row r="115" spans="1:7" ht="16.5" customHeight="1"/>
    <row r="116" spans="1:7" ht="16.5" customHeight="1">
      <c r="B116" s="94" t="s">
        <v>2288</v>
      </c>
      <c r="C116" s="94" t="s">
        <v>27</v>
      </c>
      <c r="D116" s="93"/>
      <c r="E116" s="93"/>
      <c r="F116" s="93"/>
      <c r="G116" s="93"/>
    </row>
    <row r="117" spans="1:7" ht="16.5" customHeight="1">
      <c r="B117" s="187" t="b">
        <v>1</v>
      </c>
      <c r="C117" s="138" t="s">
        <v>3628</v>
      </c>
      <c r="D117" s="93"/>
      <c r="E117" s="93"/>
      <c r="F117" s="104" t="s">
        <v>1238</v>
      </c>
      <c r="G117" s="93"/>
    </row>
    <row r="118" spans="1:7" ht="16.5" customHeight="1">
      <c r="B118" s="99" t="b">
        <v>0</v>
      </c>
      <c r="C118" s="101" t="s">
        <v>3628</v>
      </c>
      <c r="D118" s="93"/>
      <c r="E118" s="93">
        <f>COUNTA(B117:B127)</f>
        <v>10</v>
      </c>
      <c r="F118" s="108" t="s">
        <v>3645</v>
      </c>
      <c r="G118" s="93"/>
    </row>
    <row r="119" spans="1:7" ht="16.5" customHeight="1">
      <c r="B119" s="99"/>
      <c r="C119" s="101" t="s">
        <v>3630</v>
      </c>
      <c r="D119" s="93"/>
      <c r="E119" s="93"/>
      <c r="F119" s="93" t="s">
        <v>3646</v>
      </c>
      <c r="G119" s="93"/>
    </row>
    <row r="120" spans="1:7" ht="16.5" customHeight="1">
      <c r="B120" s="99" t="e">
        <f>1/0</f>
        <v>#DIV/0!</v>
      </c>
      <c r="C120" s="101" t="s">
        <v>3632</v>
      </c>
      <c r="D120" s="93"/>
      <c r="E120" s="93"/>
      <c r="F120" s="93"/>
      <c r="G120" s="93"/>
    </row>
    <row r="121" spans="1:7" ht="16.5" customHeight="1">
      <c r="B121" s="141">
        <v>40850</v>
      </c>
      <c r="C121" s="101" t="s">
        <v>1371</v>
      </c>
      <c r="D121" s="93"/>
      <c r="E121" s="93"/>
      <c r="F121" s="93"/>
      <c r="G121" s="93"/>
    </row>
    <row r="122" spans="1:7" ht="16.5" customHeight="1">
      <c r="B122" s="99">
        <v>88</v>
      </c>
      <c r="C122" s="101" t="s">
        <v>3633</v>
      </c>
      <c r="D122" s="93"/>
      <c r="E122" s="93"/>
      <c r="F122" s="93"/>
      <c r="G122" s="93"/>
    </row>
    <row r="123" spans="1:7" ht="16.5" customHeight="1">
      <c r="B123" s="202" t="s">
        <v>3634</v>
      </c>
      <c r="C123" s="101" t="s">
        <v>3635</v>
      </c>
      <c r="D123" s="93"/>
      <c r="E123" s="93"/>
      <c r="F123" s="93"/>
      <c r="G123" s="93"/>
    </row>
    <row r="124" spans="1:7" ht="16.5" customHeight="1">
      <c r="B124" s="99" t="s">
        <v>1904</v>
      </c>
      <c r="C124" s="101" t="s">
        <v>3088</v>
      </c>
      <c r="D124" s="93"/>
      <c r="E124" s="93"/>
      <c r="F124" s="93"/>
      <c r="G124" s="93"/>
    </row>
    <row r="125" spans="1:7" ht="16.5" customHeight="1">
      <c r="B125" s="99" t="s">
        <v>3636</v>
      </c>
      <c r="C125" s="101" t="s">
        <v>3637</v>
      </c>
      <c r="D125" s="93"/>
      <c r="E125" s="93"/>
      <c r="F125" s="93"/>
      <c r="G125" s="93"/>
    </row>
    <row r="126" spans="1:7" ht="16.5" customHeight="1">
      <c r="B126" s="99">
        <f>SUM(1,2)</f>
        <v>3</v>
      </c>
      <c r="C126" s="101" t="s">
        <v>1431</v>
      </c>
      <c r="D126" s="93"/>
      <c r="E126" s="93"/>
      <c r="F126" s="93"/>
      <c r="G126" s="93"/>
    </row>
    <row r="127" spans="1:7" ht="16.5" customHeight="1">
      <c r="B127" s="105" t="str">
        <f>""</f>
        <v/>
      </c>
      <c r="C127" s="203" t="s">
        <v>3638</v>
      </c>
      <c r="D127" s="93"/>
      <c r="E127" s="93"/>
      <c r="F127" s="93"/>
      <c r="G127" s="93"/>
    </row>
    <row r="128" spans="1:7" ht="16.5" customHeight="1"/>
    <row r="200" spans="1:13" s="88" customFormat="1" ht="26.25" customHeight="1">
      <c r="A200" s="498" t="s">
        <v>394</v>
      </c>
      <c r="B200" s="498"/>
      <c r="C200" s="499"/>
      <c r="D200" s="87"/>
      <c r="E200" s="500" t="str">
        <f>HYPERLINK("#目录!A232","跳转回到目录页")</f>
        <v>跳转回到目录页</v>
      </c>
      <c r="F200" s="501"/>
    </row>
    <row r="201" spans="1:13" s="88" customFormat="1" ht="26.25" customHeight="1">
      <c r="A201" s="502" t="s">
        <v>1216</v>
      </c>
      <c r="B201" s="502"/>
      <c r="C201" s="503" t="s">
        <v>395</v>
      </c>
      <c r="D201" s="503"/>
      <c r="E201" s="503"/>
      <c r="F201" s="503"/>
      <c r="G201" s="503"/>
      <c r="H201" s="503"/>
      <c r="I201" s="503"/>
      <c r="J201" s="503"/>
      <c r="K201" s="503"/>
      <c r="L201" s="503"/>
      <c r="M201" s="503"/>
    </row>
    <row r="202" spans="1:13" s="88" customFormat="1" ht="16.5" customHeight="1">
      <c r="A202" s="496" t="s">
        <v>1217</v>
      </c>
      <c r="B202" s="496"/>
      <c r="C202" s="493" t="s">
        <v>3647</v>
      </c>
      <c r="D202" s="493"/>
      <c r="E202" s="493"/>
      <c r="F202" s="493"/>
      <c r="G202" s="493"/>
      <c r="H202" s="493"/>
      <c r="I202" s="493"/>
      <c r="J202" s="493"/>
      <c r="K202" s="493"/>
      <c r="L202" s="493"/>
      <c r="M202" s="493"/>
    </row>
    <row r="203" spans="1:13" s="88" customFormat="1" ht="16.5" customHeight="1">
      <c r="A203" s="496" t="s">
        <v>5786</v>
      </c>
      <c r="B203" s="496"/>
      <c r="C203" s="497" t="s">
        <v>3648</v>
      </c>
      <c r="D203" s="497"/>
      <c r="E203" s="497"/>
      <c r="F203" s="497"/>
      <c r="G203" s="497"/>
      <c r="H203" s="497"/>
      <c r="I203" s="497"/>
      <c r="J203" s="497"/>
      <c r="K203" s="497"/>
      <c r="L203" s="497"/>
      <c r="M203" s="497"/>
    </row>
    <row r="204" spans="1:13" s="88" customFormat="1" ht="16.5" customHeight="1">
      <c r="A204" s="496" t="s">
        <v>1220</v>
      </c>
      <c r="B204" s="496"/>
      <c r="C204" s="493" t="s">
        <v>3649</v>
      </c>
      <c r="D204" s="493"/>
      <c r="E204" s="493"/>
      <c r="F204" s="493"/>
      <c r="G204" s="493"/>
      <c r="H204" s="493"/>
      <c r="I204" s="493"/>
      <c r="J204" s="493"/>
      <c r="K204" s="493"/>
      <c r="L204" s="493"/>
      <c r="M204" s="493"/>
    </row>
    <row r="205" spans="1:13" s="88" customFormat="1" ht="16.5" customHeight="1">
      <c r="A205" s="496" t="s">
        <v>5785</v>
      </c>
      <c r="B205" s="496"/>
      <c r="C205" s="493" t="s">
        <v>3650</v>
      </c>
      <c r="D205" s="493"/>
      <c r="E205" s="493"/>
      <c r="F205" s="493"/>
      <c r="G205" s="493"/>
      <c r="H205" s="493"/>
      <c r="I205" s="493"/>
      <c r="J205" s="493"/>
      <c r="K205" s="493"/>
      <c r="L205" s="493"/>
      <c r="M205" s="493"/>
    </row>
    <row r="206" spans="1:13" s="88" customFormat="1" ht="16.5" customHeight="1">
      <c r="A206" s="89" t="s">
        <v>1223</v>
      </c>
      <c r="B206" s="92" t="s">
        <v>3651</v>
      </c>
      <c r="C206" s="493" t="s">
        <v>3652</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t="s">
        <v>3653</v>
      </c>
      <c r="C209" s="493"/>
      <c r="D209" s="493"/>
      <c r="E209" s="493"/>
      <c r="F209" s="493"/>
      <c r="G209" s="493"/>
      <c r="H209" s="493"/>
      <c r="I209" s="493"/>
      <c r="J209" s="493"/>
      <c r="K209" s="493"/>
      <c r="L209" s="493"/>
      <c r="M209" s="493"/>
    </row>
    <row r="210" spans="1:13" ht="16.5" customHeight="1">
      <c r="A210" s="89" t="s">
        <v>1229</v>
      </c>
      <c r="B210" s="493"/>
      <c r="C210" s="493"/>
      <c r="D210" s="493"/>
      <c r="E210" s="493"/>
      <c r="F210" s="493"/>
      <c r="G210" s="493"/>
      <c r="H210" s="493"/>
      <c r="I210" s="493"/>
      <c r="J210" s="493"/>
      <c r="K210" s="493"/>
      <c r="L210" s="493"/>
      <c r="M210" s="493"/>
    </row>
    <row r="211" spans="1:13" ht="21" customHeight="1">
      <c r="B211" s="494" t="s">
        <v>1231</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row r="216" spans="1:13" ht="16.5" customHeight="1">
      <c r="B216" s="94" t="s">
        <v>2288</v>
      </c>
      <c r="C216" s="94" t="s">
        <v>27</v>
      </c>
      <c r="D216" s="93"/>
      <c r="E216" s="93"/>
      <c r="F216" s="93"/>
      <c r="G216" s="93"/>
    </row>
    <row r="217" spans="1:13" ht="16.5" customHeight="1">
      <c r="B217" s="187" t="b">
        <v>1</v>
      </c>
      <c r="C217" s="138" t="s">
        <v>3628</v>
      </c>
      <c r="D217" s="93"/>
      <c r="E217" s="93"/>
      <c r="F217" s="104" t="s">
        <v>1238</v>
      </c>
      <c r="G217" s="93"/>
    </row>
    <row r="218" spans="1:13" ht="16.5" customHeight="1">
      <c r="B218" s="99" t="b">
        <v>0</v>
      </c>
      <c r="C218" s="101" t="s">
        <v>3628</v>
      </c>
      <c r="D218" s="93"/>
      <c r="E218" s="93">
        <f>COUNTBLANK($B$217:$B$227)</f>
        <v>2</v>
      </c>
      <c r="F218" s="108" t="s">
        <v>3654</v>
      </c>
      <c r="G218" s="93"/>
    </row>
    <row r="219" spans="1:13" ht="16.5" customHeight="1">
      <c r="B219" s="99"/>
      <c r="C219" s="101" t="s">
        <v>3630</v>
      </c>
      <c r="D219" s="93"/>
      <c r="E219" s="93"/>
      <c r="F219" s="93"/>
      <c r="G219" s="93"/>
    </row>
    <row r="220" spans="1:13" ht="16.5" customHeight="1">
      <c r="B220" s="99" t="e">
        <f>1/0</f>
        <v>#DIV/0!</v>
      </c>
      <c r="C220" s="101" t="s">
        <v>3632</v>
      </c>
      <c r="D220" s="93"/>
      <c r="E220" s="93"/>
      <c r="F220" s="93"/>
      <c r="G220" s="93"/>
    </row>
    <row r="221" spans="1:13" ht="16.5" customHeight="1">
      <c r="B221" s="141">
        <v>40850</v>
      </c>
      <c r="C221" s="101" t="s">
        <v>1371</v>
      </c>
      <c r="D221" s="93"/>
      <c r="E221" s="93"/>
      <c r="F221" s="93"/>
      <c r="G221" s="93"/>
    </row>
    <row r="222" spans="1:13" ht="16.5" customHeight="1">
      <c r="B222" s="99">
        <v>88</v>
      </c>
      <c r="C222" s="101" t="s">
        <v>3633</v>
      </c>
      <c r="D222" s="93"/>
      <c r="E222" s="93"/>
      <c r="G222" s="93"/>
    </row>
    <row r="223" spans="1:13" ht="16.5" customHeight="1">
      <c r="B223" s="202" t="s">
        <v>3634</v>
      </c>
      <c r="C223" s="101" t="s">
        <v>3635</v>
      </c>
      <c r="D223" s="93"/>
      <c r="E223" s="93"/>
      <c r="G223" s="93"/>
    </row>
    <row r="224" spans="1:13" ht="16.5" customHeight="1">
      <c r="B224" s="99" t="s">
        <v>1904</v>
      </c>
      <c r="C224" s="101" t="s">
        <v>3088</v>
      </c>
      <c r="D224" s="93"/>
      <c r="E224" s="93"/>
      <c r="G224" s="93"/>
    </row>
    <row r="225" spans="2:7" ht="16.5" customHeight="1">
      <c r="B225" s="99" t="s">
        <v>3636</v>
      </c>
      <c r="C225" s="101" t="s">
        <v>3637</v>
      </c>
      <c r="D225" s="93"/>
      <c r="E225" s="93"/>
      <c r="F225" s="93"/>
      <c r="G225" s="93"/>
    </row>
    <row r="226" spans="2:7" ht="16.5" customHeight="1">
      <c r="B226" s="99">
        <f>SUM(1,2)</f>
        <v>3</v>
      </c>
      <c r="C226" s="101" t="s">
        <v>1431</v>
      </c>
      <c r="D226" s="93"/>
      <c r="E226" s="93"/>
      <c r="F226" s="93"/>
      <c r="G226" s="93"/>
    </row>
    <row r="227" spans="2:7" ht="16.5" customHeight="1">
      <c r="B227" s="105" t="str">
        <f>""</f>
        <v/>
      </c>
      <c r="C227" s="203" t="s">
        <v>3638</v>
      </c>
      <c r="D227" s="93"/>
      <c r="E227" s="93"/>
      <c r="F227" s="93"/>
      <c r="G227" s="93"/>
    </row>
    <row r="228" spans="2:7" ht="16.5" customHeight="1"/>
  </sheetData>
  <mergeCells count="55">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D17"/>
    <mergeCell ref="A100:C100"/>
    <mergeCell ref="E100:F100"/>
    <mergeCell ref="A101:B101"/>
    <mergeCell ref="C101:M101"/>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headerFooter scaleWithDoc="0"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AV331"/>
  <sheetViews>
    <sheetView topLeftCell="A9"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397</v>
      </c>
      <c r="B1" s="498"/>
      <c r="C1" s="499"/>
      <c r="D1" s="87"/>
      <c r="E1" s="500" t="str">
        <f>HYPERLINK("#目录!A234","跳转回到目录页")</f>
        <v>跳转回到目录页</v>
      </c>
      <c r="F1" s="501"/>
    </row>
    <row r="2" spans="1:48" s="88" customFormat="1" ht="26.25" customHeight="1">
      <c r="A2" s="502" t="s">
        <v>1216</v>
      </c>
      <c r="B2" s="502"/>
      <c r="C2" s="503" t="s">
        <v>398</v>
      </c>
      <c r="D2" s="503"/>
      <c r="E2" s="503"/>
      <c r="F2" s="503"/>
      <c r="G2" s="503"/>
      <c r="H2" s="503"/>
      <c r="I2" s="503"/>
      <c r="J2" s="503"/>
      <c r="K2" s="503"/>
      <c r="L2" s="503"/>
      <c r="M2" s="503"/>
    </row>
    <row r="3" spans="1:48" s="88" customFormat="1" ht="16.5" customHeight="1">
      <c r="A3" s="496" t="s">
        <v>1217</v>
      </c>
      <c r="B3" s="496"/>
      <c r="C3" s="493" t="s">
        <v>3655</v>
      </c>
      <c r="D3" s="493"/>
      <c r="E3" s="493"/>
      <c r="F3" s="493"/>
      <c r="G3" s="493"/>
      <c r="H3" s="493"/>
      <c r="I3" s="493"/>
      <c r="J3" s="493"/>
      <c r="K3" s="493"/>
      <c r="L3" s="493"/>
      <c r="M3" s="493"/>
    </row>
    <row r="4" spans="1:48" s="88" customFormat="1" ht="16.5" customHeight="1">
      <c r="A4" s="496" t="s">
        <v>5786</v>
      </c>
      <c r="B4" s="496"/>
      <c r="C4" s="497" t="s">
        <v>2030</v>
      </c>
      <c r="D4" s="497"/>
      <c r="E4" s="497"/>
      <c r="F4" s="497"/>
      <c r="G4" s="497"/>
      <c r="H4" s="497"/>
      <c r="I4" s="497"/>
      <c r="J4" s="497"/>
      <c r="K4" s="497"/>
      <c r="L4" s="497"/>
      <c r="M4" s="497"/>
    </row>
    <row r="5" spans="1:48" s="88" customFormat="1" ht="16.5" customHeight="1">
      <c r="A5" s="496" t="s">
        <v>1220</v>
      </c>
      <c r="B5" s="496"/>
      <c r="C5" s="493" t="s">
        <v>3656</v>
      </c>
      <c r="D5" s="493"/>
      <c r="E5" s="493"/>
      <c r="F5" s="493"/>
      <c r="G5" s="493"/>
      <c r="H5" s="493"/>
      <c r="I5" s="493"/>
      <c r="J5" s="493"/>
      <c r="K5" s="493"/>
      <c r="L5" s="493"/>
      <c r="M5" s="493"/>
    </row>
    <row r="6" spans="1:48" s="88" customFormat="1" ht="16.5" customHeight="1">
      <c r="A6" s="496" t="s">
        <v>5785</v>
      </c>
      <c r="B6" s="496"/>
      <c r="C6" s="493" t="s">
        <v>3657</v>
      </c>
      <c r="D6" s="493"/>
      <c r="E6" s="493"/>
      <c r="F6" s="493"/>
      <c r="G6" s="493"/>
      <c r="H6" s="493"/>
      <c r="I6" s="493"/>
      <c r="J6" s="493"/>
      <c r="K6" s="493"/>
      <c r="L6" s="493"/>
      <c r="M6" s="493"/>
    </row>
    <row r="7" spans="1:48" s="88" customFormat="1" ht="16.5" customHeight="1">
      <c r="A7" s="89" t="s">
        <v>1223</v>
      </c>
      <c r="B7" s="92" t="s">
        <v>2200</v>
      </c>
      <c r="C7" s="493" t="s">
        <v>3658</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24.75" customHeight="1">
      <c r="A11" s="89" t="s">
        <v>1229</v>
      </c>
      <c r="B11" s="493" t="s">
        <v>3659</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G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2288</v>
      </c>
      <c r="C17" s="94" t="s">
        <v>27</v>
      </c>
      <c r="F17" s="104" t="s">
        <v>1238</v>
      </c>
      <c r="G17" s="4"/>
      <c r="H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87" t="b">
        <v>1</v>
      </c>
      <c r="C18" s="138" t="s">
        <v>3628</v>
      </c>
      <c r="E18" s="148" t="e">
        <f>AVERAGE(B18:B29)</f>
        <v>#DIV/0!</v>
      </c>
      <c r="F18" s="108" t="s">
        <v>3660</v>
      </c>
      <c r="G18" s="4"/>
      <c r="H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t="b">
        <v>0</v>
      </c>
      <c r="C19" s="101" t="s">
        <v>3628</v>
      </c>
      <c r="F19" s="93" t="s">
        <v>3661</v>
      </c>
      <c r="G19" s="4"/>
      <c r="H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c r="C20" s="101" t="s">
        <v>3630</v>
      </c>
      <c r="G20" s="4"/>
      <c r="H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t="e">
        <f>1/0</f>
        <v>#DIV/0!</v>
      </c>
      <c r="C21" s="101" t="s">
        <v>3632</v>
      </c>
      <c r="F21" s="104" t="s">
        <v>1238</v>
      </c>
      <c r="G21" s="4"/>
      <c r="H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v>0</v>
      </c>
      <c r="C22" s="101" t="s">
        <v>3633</v>
      </c>
      <c r="E22" s="93">
        <f>AVERAGE(B18:B20,B22:B29)</f>
        <v>21.25</v>
      </c>
      <c r="F22" s="108" t="s">
        <v>3662</v>
      </c>
      <c r="G22" s="4"/>
      <c r="H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9">
        <v>88</v>
      </c>
      <c r="C23" s="101" t="s">
        <v>3633</v>
      </c>
      <c r="E23" s="201"/>
      <c r="F23" s="93" t="s">
        <v>3663</v>
      </c>
      <c r="G23" s="4"/>
      <c r="H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202" t="s">
        <v>3634</v>
      </c>
      <c r="C24" s="101" t="s">
        <v>3635</v>
      </c>
      <c r="E24" s="4"/>
      <c r="G24" s="4"/>
      <c r="H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9">
        <v>-6</v>
      </c>
      <c r="C25" s="101" t="s">
        <v>3633</v>
      </c>
      <c r="F25" s="104" t="s">
        <v>1238</v>
      </c>
      <c r="G25" s="4"/>
      <c r="H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99" t="s">
        <v>1904</v>
      </c>
      <c r="C26" s="101" t="s">
        <v>3088</v>
      </c>
      <c r="E26" s="201">
        <f>AVERAGE(B24:B25,B27:B29)</f>
        <v>-1.5</v>
      </c>
      <c r="F26" s="108" t="s">
        <v>3664</v>
      </c>
      <c r="G26" s="4"/>
      <c r="H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9" t="s">
        <v>3636</v>
      </c>
      <c r="C27" s="101" t="s">
        <v>3637</v>
      </c>
      <c r="E27" s="4"/>
      <c r="F27" s="93" t="s">
        <v>3665</v>
      </c>
      <c r="G27" s="189"/>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9">
        <f>SUM(1,2)</f>
        <v>3</v>
      </c>
      <c r="C28" s="101" t="s">
        <v>1431</v>
      </c>
      <c r="E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05" t="str">
        <f>""</f>
        <v/>
      </c>
      <c r="C29" s="203" t="s">
        <v>3638</v>
      </c>
      <c r="E29" s="20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4"/>
      <c r="C30" s="4"/>
      <c r="D30" s="4"/>
      <c r="E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4"/>
      <c r="C31" s="4"/>
      <c r="D31" s="4"/>
      <c r="E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155"/>
      <c r="C32" s="4"/>
      <c r="D32" s="4"/>
      <c r="E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B33" s="155"/>
      <c r="C33" s="4"/>
      <c r="D33" s="4"/>
      <c r="E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155"/>
      <c r="C34" s="4"/>
      <c r="D34" s="4"/>
      <c r="E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B35" s="155"/>
      <c r="C35" s="4"/>
      <c r="D35" s="4"/>
      <c r="E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B36" s="155"/>
      <c r="C36" s="4"/>
      <c r="D36" s="4"/>
      <c r="E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B37" s="155"/>
      <c r="C37" s="4"/>
      <c r="D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B38" s="155"/>
      <c r="C38" s="4"/>
      <c r="D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B39" s="155"/>
      <c r="C39" s="4"/>
      <c r="D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B40" s="4"/>
      <c r="C40" s="4"/>
      <c r="D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B41" s="4"/>
      <c r="C41" s="4"/>
      <c r="D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B42" s="4"/>
      <c r="C42" s="4"/>
      <c r="D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399</v>
      </c>
      <c r="B100" s="498"/>
      <c r="C100" s="499"/>
      <c r="D100" s="87"/>
      <c r="E100" s="500" t="str">
        <f>HYPERLINK("#目录!A235","跳转回到目录页")</f>
        <v>跳转回到目录页</v>
      </c>
      <c r="F100" s="501"/>
    </row>
    <row r="101" spans="1:13" s="88" customFormat="1" ht="26.25" customHeight="1">
      <c r="A101" s="502" t="s">
        <v>1216</v>
      </c>
      <c r="B101" s="502"/>
      <c r="C101" s="503" t="s">
        <v>400</v>
      </c>
      <c r="D101" s="503"/>
      <c r="E101" s="503"/>
      <c r="F101" s="503"/>
      <c r="G101" s="503"/>
      <c r="H101" s="503"/>
      <c r="I101" s="503"/>
      <c r="J101" s="503"/>
      <c r="K101" s="503"/>
      <c r="L101" s="503"/>
      <c r="M101" s="503"/>
    </row>
    <row r="102" spans="1:13" s="88" customFormat="1" ht="16.5" customHeight="1">
      <c r="A102" s="496" t="s">
        <v>1217</v>
      </c>
      <c r="B102" s="496"/>
      <c r="C102" s="493" t="s">
        <v>3666</v>
      </c>
      <c r="D102" s="493"/>
      <c r="E102" s="493"/>
      <c r="F102" s="493"/>
      <c r="G102" s="493"/>
      <c r="H102" s="493"/>
      <c r="I102" s="493"/>
      <c r="J102" s="493"/>
      <c r="K102" s="493"/>
      <c r="L102" s="493"/>
      <c r="M102" s="493"/>
    </row>
    <row r="103" spans="1:13" s="88" customFormat="1" ht="16.5" customHeight="1">
      <c r="A103" s="496" t="s">
        <v>5786</v>
      </c>
      <c r="B103" s="496"/>
      <c r="C103" s="497" t="s">
        <v>5834</v>
      </c>
      <c r="D103" s="497"/>
      <c r="E103" s="497"/>
      <c r="F103" s="497"/>
      <c r="G103" s="497"/>
      <c r="H103" s="497"/>
      <c r="I103" s="497"/>
      <c r="J103" s="497"/>
      <c r="K103" s="497"/>
      <c r="L103" s="497"/>
      <c r="M103" s="497"/>
    </row>
    <row r="104" spans="1:13" s="88" customFormat="1" ht="16.5" customHeight="1">
      <c r="A104" s="496" t="s">
        <v>1220</v>
      </c>
      <c r="B104" s="496"/>
      <c r="C104" s="493" t="s">
        <v>3667</v>
      </c>
      <c r="D104" s="493"/>
      <c r="E104" s="493"/>
      <c r="F104" s="493"/>
      <c r="G104" s="493"/>
      <c r="H104" s="493"/>
      <c r="I104" s="493"/>
      <c r="J104" s="493"/>
      <c r="K104" s="493"/>
      <c r="L104" s="493"/>
      <c r="M104" s="493"/>
    </row>
    <row r="105" spans="1:13" s="88" customFormat="1" ht="16.5" customHeight="1">
      <c r="A105" s="496" t="s">
        <v>5785</v>
      </c>
      <c r="B105" s="496"/>
      <c r="C105" s="493" t="s">
        <v>3668</v>
      </c>
      <c r="D105" s="493"/>
      <c r="E105" s="493"/>
      <c r="F105" s="493"/>
      <c r="G105" s="493"/>
      <c r="H105" s="493"/>
      <c r="I105" s="493"/>
      <c r="J105" s="493"/>
      <c r="K105" s="493"/>
      <c r="L105" s="493"/>
      <c r="M105" s="493"/>
    </row>
    <row r="106" spans="1:13" s="88" customFormat="1" ht="16.5" customHeight="1">
      <c r="A106" s="89" t="s">
        <v>1223</v>
      </c>
      <c r="B106" s="92" t="s">
        <v>3299</v>
      </c>
      <c r="C106" s="493" t="s">
        <v>3669</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38.25" customHeight="1">
      <c r="A110" s="89" t="s">
        <v>1229</v>
      </c>
      <c r="B110" s="493" t="s">
        <v>3670</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c r="B115" s="93"/>
      <c r="C115" s="93"/>
      <c r="D115" s="93"/>
      <c r="E115" s="93"/>
      <c r="F115" s="93"/>
      <c r="G115" s="93"/>
      <c r="H115" s="93"/>
      <c r="I115" s="93"/>
      <c r="J115" s="93"/>
      <c r="K115" s="93"/>
      <c r="L115" s="93"/>
      <c r="M115" s="93"/>
    </row>
    <row r="116" spans="1:48" ht="16.5" customHeight="1">
      <c r="B116" s="94" t="s">
        <v>2288</v>
      </c>
      <c r="C116" s="94" t="s">
        <v>27</v>
      </c>
      <c r="D116" s="93"/>
      <c r="E116" s="93"/>
      <c r="F116" s="104" t="s">
        <v>1238</v>
      </c>
      <c r="G116" s="170"/>
      <c r="H116" s="93"/>
      <c r="I116" s="93"/>
      <c r="J116" s="93"/>
      <c r="K116" s="93"/>
      <c r="L116" s="93"/>
      <c r="M116" s="93"/>
    </row>
    <row r="117" spans="1:48" ht="16.5" customHeight="1">
      <c r="B117" s="187" t="b">
        <v>1</v>
      </c>
      <c r="C117" s="138" t="s">
        <v>3628</v>
      </c>
      <c r="D117" s="93"/>
      <c r="E117" s="93" t="e">
        <f>AVERAGEA(B117:B128)</f>
        <v>#DIV/0!</v>
      </c>
      <c r="F117" s="108" t="s">
        <v>3671</v>
      </c>
      <c r="G117" s="93"/>
      <c r="H117" s="93"/>
      <c r="I117" s="93"/>
      <c r="J117" s="93"/>
      <c r="K117" s="93"/>
      <c r="L117" s="93"/>
      <c r="M117" s="93"/>
    </row>
    <row r="118" spans="1:48" ht="16.5" customHeight="1">
      <c r="B118" s="99" t="b">
        <v>0</v>
      </c>
      <c r="C118" s="101" t="s">
        <v>3628</v>
      </c>
      <c r="D118" s="93"/>
      <c r="E118" s="93"/>
      <c r="F118" s="93" t="s">
        <v>3661</v>
      </c>
      <c r="G118" s="170"/>
      <c r="H118" s="93"/>
      <c r="I118" s="93"/>
      <c r="J118" s="93"/>
      <c r="K118" s="93"/>
      <c r="L118" s="93"/>
      <c r="M118" s="93"/>
    </row>
    <row r="119" spans="1:48" ht="16.5" customHeight="1">
      <c r="B119" s="99"/>
      <c r="C119" s="101" t="s">
        <v>3630</v>
      </c>
      <c r="D119" s="93"/>
      <c r="E119" s="93"/>
      <c r="F119" s="93"/>
      <c r="G119" s="93"/>
      <c r="H119" s="93"/>
      <c r="I119" s="93"/>
      <c r="J119" s="93"/>
      <c r="K119" s="93"/>
      <c r="L119" s="93"/>
      <c r="M119" s="93"/>
    </row>
    <row r="120" spans="1:48" ht="16.5" customHeight="1">
      <c r="B120" s="99" t="e">
        <f>1/0</f>
        <v>#DIV/0!</v>
      </c>
      <c r="C120" s="101" t="s">
        <v>3632</v>
      </c>
      <c r="D120" s="93"/>
      <c r="E120" s="93"/>
      <c r="F120" s="104" t="s">
        <v>1238</v>
      </c>
      <c r="G120" s="161"/>
      <c r="H120" s="93"/>
      <c r="J120" s="93"/>
      <c r="K120" s="93"/>
      <c r="L120" s="93"/>
      <c r="M120" s="93"/>
    </row>
    <row r="121" spans="1:48" ht="16.5" customHeight="1">
      <c r="B121" s="99">
        <v>0</v>
      </c>
      <c r="C121" s="101" t="s">
        <v>3633</v>
      </c>
      <c r="D121" s="93"/>
      <c r="E121" s="93">
        <f>AVERAGEA(B117:B119,B121:B128)</f>
        <v>8.6</v>
      </c>
      <c r="F121" s="108" t="s">
        <v>3672</v>
      </c>
      <c r="G121" s="161"/>
      <c r="H121" s="93"/>
      <c r="J121" s="93"/>
      <c r="K121" s="93"/>
      <c r="L121" s="93"/>
      <c r="M121" s="93"/>
    </row>
    <row r="122" spans="1:48" ht="16.5" customHeight="1">
      <c r="B122" s="99">
        <v>88</v>
      </c>
      <c r="C122" s="101" t="s">
        <v>3633</v>
      </c>
      <c r="D122" s="116" t="s">
        <v>27</v>
      </c>
      <c r="E122" s="143" t="s">
        <v>5835</v>
      </c>
      <c r="J122" s="93"/>
      <c r="K122" s="93"/>
      <c r="L122" s="93"/>
      <c r="M122" s="93"/>
    </row>
    <row r="123" spans="1:48" ht="16.5" customHeight="1">
      <c r="B123" s="202" t="s">
        <v>3634</v>
      </c>
      <c r="C123" s="101" t="s">
        <v>3635</v>
      </c>
      <c r="D123" s="93"/>
      <c r="E123" s="93">
        <f>AVERAGEA(B119,B121,B124,B127,B128)</f>
        <v>-0.75</v>
      </c>
      <c r="F123" s="205" t="s">
        <v>3673</v>
      </c>
      <c r="G123" s="93"/>
      <c r="H123" s="93"/>
      <c r="J123" s="93"/>
      <c r="K123" s="93"/>
      <c r="L123" s="93"/>
      <c r="M123" s="93"/>
    </row>
    <row r="124" spans="1:48" ht="16.5" customHeight="1">
      <c r="B124" s="99">
        <v>-6</v>
      </c>
      <c r="C124" s="101" t="s">
        <v>3633</v>
      </c>
      <c r="D124" s="93"/>
      <c r="E124" s="143" t="s">
        <v>5836</v>
      </c>
      <c r="J124" s="93"/>
      <c r="K124" s="93"/>
      <c r="L124" s="93"/>
      <c r="M124" s="93"/>
    </row>
    <row r="125" spans="1:48" ht="16.5" customHeight="1">
      <c r="B125" s="99" t="s">
        <v>1904</v>
      </c>
      <c r="C125" s="101" t="s">
        <v>3088</v>
      </c>
      <c r="D125" s="93"/>
      <c r="E125" s="93">
        <f>AVERAGEA(B121,B124,B127,B128)</f>
        <v>-0.75</v>
      </c>
      <c r="F125" s="108" t="s">
        <v>3674</v>
      </c>
      <c r="G125" s="93"/>
      <c r="H125" s="93"/>
      <c r="J125" s="93"/>
      <c r="K125" s="93"/>
      <c r="L125" s="93"/>
      <c r="M125" s="93"/>
    </row>
    <row r="126" spans="1:48" ht="16.5" customHeight="1">
      <c r="B126" s="99" t="s">
        <v>3636</v>
      </c>
      <c r="C126" s="101" t="s">
        <v>3637</v>
      </c>
      <c r="D126" s="93"/>
      <c r="E126" s="143" t="s">
        <v>5837</v>
      </c>
      <c r="J126" s="93"/>
      <c r="K126" s="93"/>
      <c r="L126" s="93"/>
      <c r="M126" s="93"/>
    </row>
    <row r="127" spans="1:48" ht="16.5" customHeight="1">
      <c r="B127" s="99">
        <f>SUM(1,2)</f>
        <v>3</v>
      </c>
      <c r="C127" s="101" t="s">
        <v>1431</v>
      </c>
      <c r="D127" s="93"/>
      <c r="E127" s="93">
        <f>AVERAGEA(B124,B127,B128)</f>
        <v>-1</v>
      </c>
      <c r="F127" s="108" t="s">
        <v>3675</v>
      </c>
      <c r="G127" s="93"/>
      <c r="H127" s="93"/>
      <c r="J127" s="93"/>
      <c r="K127" s="93"/>
      <c r="L127" s="93"/>
      <c r="M127" s="93"/>
    </row>
    <row r="128" spans="1:48" ht="16.5" customHeight="1">
      <c r="B128" s="105" t="str">
        <f>""</f>
        <v/>
      </c>
      <c r="C128" s="203" t="s">
        <v>3638</v>
      </c>
      <c r="D128" s="93"/>
      <c r="E128" s="143" t="s">
        <v>5838</v>
      </c>
      <c r="J128" s="93"/>
      <c r="K128" s="93"/>
      <c r="L128" s="93"/>
      <c r="M128" s="93"/>
    </row>
    <row r="129" spans="2:13">
      <c r="B129" s="93"/>
      <c r="C129" s="93"/>
      <c r="D129" s="93"/>
      <c r="E129" s="93">
        <f>AVERAGEA(B124,B127)</f>
        <v>-1.5</v>
      </c>
      <c r="F129" s="108" t="s">
        <v>3676</v>
      </c>
      <c r="G129" s="93"/>
      <c r="H129" s="93"/>
      <c r="J129" s="93"/>
      <c r="K129" s="93"/>
      <c r="L129" s="93"/>
      <c r="M129" s="93"/>
    </row>
    <row r="130" spans="2:13">
      <c r="B130" s="93"/>
      <c r="C130" s="93"/>
      <c r="D130" s="93"/>
      <c r="E130" s="143" t="s">
        <v>5839</v>
      </c>
      <c r="J130" s="93"/>
      <c r="K130" s="93"/>
      <c r="L130" s="93"/>
      <c r="M130" s="93"/>
    </row>
    <row r="131" spans="2:13">
      <c r="B131" s="93"/>
      <c r="C131" s="93"/>
      <c r="D131" s="93"/>
      <c r="E131" s="93"/>
      <c r="F131" s="93"/>
      <c r="G131" s="93"/>
      <c r="H131" s="93"/>
      <c r="I131" s="93"/>
      <c r="J131" s="93"/>
      <c r="K131" s="93"/>
      <c r="L131" s="93"/>
      <c r="M131" s="93"/>
    </row>
    <row r="200" spans="1:13" s="88" customFormat="1" ht="26.25" customHeight="1">
      <c r="A200" s="498" t="s">
        <v>403</v>
      </c>
      <c r="B200" s="498"/>
      <c r="C200" s="499"/>
      <c r="D200" s="87"/>
      <c r="E200" s="500" t="str">
        <f>HYPERLINK("#目录!A237","跳转回到目录页")</f>
        <v>跳转回到目录页</v>
      </c>
      <c r="F200" s="501"/>
    </row>
    <row r="201" spans="1:13" s="88" customFormat="1" ht="26.25" customHeight="1">
      <c r="A201" s="502" t="s">
        <v>1216</v>
      </c>
      <c r="B201" s="502"/>
      <c r="C201" s="503" t="s">
        <v>404</v>
      </c>
      <c r="D201" s="503"/>
      <c r="E201" s="503"/>
      <c r="F201" s="503"/>
      <c r="G201" s="503"/>
      <c r="H201" s="503"/>
      <c r="I201" s="503"/>
      <c r="J201" s="503"/>
      <c r="K201" s="503"/>
      <c r="L201" s="503"/>
      <c r="M201" s="503"/>
    </row>
    <row r="202" spans="1:13" s="88" customFormat="1" ht="16.5" customHeight="1">
      <c r="A202" s="496" t="s">
        <v>1217</v>
      </c>
      <c r="B202" s="496"/>
      <c r="C202" s="493" t="s">
        <v>3677</v>
      </c>
      <c r="D202" s="493"/>
      <c r="E202" s="493"/>
      <c r="F202" s="493"/>
      <c r="G202" s="493"/>
      <c r="H202" s="493"/>
      <c r="I202" s="493"/>
      <c r="J202" s="493"/>
      <c r="K202" s="493"/>
      <c r="L202" s="493"/>
      <c r="M202" s="493"/>
    </row>
    <row r="203" spans="1:13" s="88" customFormat="1" ht="16.5" customHeight="1">
      <c r="A203" s="496" t="s">
        <v>5786</v>
      </c>
      <c r="B203" s="496"/>
      <c r="C203" s="497" t="s">
        <v>5840</v>
      </c>
      <c r="D203" s="497"/>
      <c r="E203" s="497"/>
      <c r="F203" s="497"/>
      <c r="G203" s="497"/>
      <c r="H203" s="497"/>
      <c r="I203" s="497"/>
      <c r="J203" s="497"/>
      <c r="K203" s="497"/>
      <c r="L203" s="497"/>
      <c r="M203" s="497"/>
    </row>
    <row r="204" spans="1:13" s="88" customFormat="1" ht="16.5" customHeight="1">
      <c r="A204" s="496" t="s">
        <v>1220</v>
      </c>
      <c r="B204" s="496"/>
      <c r="C204" s="493" t="s">
        <v>3678</v>
      </c>
      <c r="D204" s="493"/>
      <c r="E204" s="493"/>
      <c r="F204" s="493"/>
      <c r="G204" s="493"/>
      <c r="H204" s="493"/>
      <c r="I204" s="493"/>
      <c r="J204" s="493"/>
      <c r="K204" s="493"/>
      <c r="L204" s="493"/>
      <c r="M204" s="493"/>
    </row>
    <row r="205" spans="1:13" s="88" customFormat="1" ht="16.5" customHeight="1">
      <c r="A205" s="496" t="s">
        <v>5785</v>
      </c>
      <c r="B205" s="496"/>
      <c r="C205" s="493" t="s">
        <v>3679</v>
      </c>
      <c r="D205" s="493"/>
      <c r="E205" s="493"/>
      <c r="F205" s="493"/>
      <c r="G205" s="493"/>
      <c r="H205" s="493"/>
      <c r="I205" s="493"/>
      <c r="J205" s="493"/>
      <c r="K205" s="493"/>
      <c r="L205" s="493"/>
      <c r="M205" s="493"/>
    </row>
    <row r="206" spans="1:13" s="88" customFormat="1" ht="16.5" customHeight="1">
      <c r="A206" s="89" t="s">
        <v>1223</v>
      </c>
      <c r="B206" s="92" t="s">
        <v>2200</v>
      </c>
      <c r="C206" s="493" t="s">
        <v>3680</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48" s="88" customFormat="1" ht="16.5" customHeight="1">
      <c r="A209" s="89" t="s">
        <v>1228</v>
      </c>
      <c r="B209" s="493"/>
      <c r="C209" s="493"/>
      <c r="D209" s="493"/>
      <c r="E209" s="493"/>
      <c r="F209" s="493"/>
      <c r="G209" s="493"/>
      <c r="H209" s="493"/>
      <c r="I209" s="493"/>
      <c r="J209" s="493"/>
      <c r="K209" s="493"/>
      <c r="L209" s="493"/>
      <c r="M209" s="493"/>
    </row>
    <row r="210" spans="1:48" ht="65.25" customHeight="1">
      <c r="A210" s="89" t="s">
        <v>1229</v>
      </c>
      <c r="B210" s="673" t="s">
        <v>5841</v>
      </c>
      <c r="C210" s="673"/>
      <c r="D210" s="673"/>
      <c r="E210" s="673"/>
      <c r="F210" s="673"/>
      <c r="G210" s="673"/>
      <c r="H210" s="673"/>
      <c r="I210" s="673"/>
      <c r="J210" s="673"/>
      <c r="K210" s="673"/>
      <c r="L210" s="673"/>
      <c r="M210" s="673"/>
    </row>
    <row r="211" spans="1:48" ht="21" customHeight="1">
      <c r="B211" s="494" t="s">
        <v>1231</v>
      </c>
      <c r="C211" s="494"/>
      <c r="D211" s="494"/>
      <c r="E211" s="494"/>
      <c r="F211" s="494"/>
      <c r="G211" s="494"/>
      <c r="H211" s="494"/>
      <c r="I211" s="494"/>
      <c r="J211" s="494"/>
      <c r="K211" s="494"/>
      <c r="L211" s="495"/>
    </row>
    <row r="212" spans="1:48" s="93" customFormat="1" ht="16.5" customHeight="1"/>
    <row r="213" spans="1:48" s="93" customFormat="1" ht="16.5" customHeight="1">
      <c r="A213" s="94" t="s">
        <v>1232</v>
      </c>
      <c r="B213" s="93" t="s">
        <v>1773</v>
      </c>
    </row>
    <row r="214" spans="1:48" s="93" customFormat="1" ht="16.5" customHeight="1">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spans="1:48" ht="16.5" customHeight="1">
      <c r="B215" s="93"/>
      <c r="C215" s="93"/>
      <c r="D215" s="93"/>
      <c r="E215" s="93"/>
      <c r="F215" s="93"/>
      <c r="G215" s="93"/>
      <c r="H215" s="93"/>
      <c r="I215" s="93"/>
      <c r="J215" s="93"/>
      <c r="K215" s="93"/>
      <c r="L215" s="93"/>
    </row>
    <row r="216" spans="1:48" ht="16.5" customHeight="1">
      <c r="B216" s="94" t="s">
        <v>2288</v>
      </c>
      <c r="C216" s="94" t="s">
        <v>27</v>
      </c>
      <c r="D216" s="93"/>
      <c r="E216" s="93"/>
      <c r="F216" s="104" t="s">
        <v>1238</v>
      </c>
      <c r="G216" s="93"/>
      <c r="H216" s="93"/>
      <c r="I216" s="93"/>
      <c r="J216" s="93"/>
      <c r="K216" s="93"/>
      <c r="L216" s="93"/>
    </row>
    <row r="217" spans="1:48" ht="16.5" customHeight="1">
      <c r="B217" s="187" t="b">
        <v>1</v>
      </c>
      <c r="C217" s="138" t="s">
        <v>3628</v>
      </c>
      <c r="D217" s="93"/>
      <c r="E217" s="93" t="e">
        <f>GEOMEAN(B217:B228)</f>
        <v>#DIV/0!</v>
      </c>
      <c r="F217" s="108" t="s">
        <v>3681</v>
      </c>
      <c r="G217" s="93"/>
      <c r="H217" s="93"/>
      <c r="K217" s="93"/>
      <c r="L217" s="93"/>
    </row>
    <row r="218" spans="1:48" ht="16.5" customHeight="1">
      <c r="B218" s="99" t="b">
        <v>0</v>
      </c>
      <c r="C218" s="101" t="s">
        <v>3628</v>
      </c>
      <c r="D218" s="116" t="s">
        <v>27</v>
      </c>
      <c r="E218" s="143" t="s">
        <v>5842</v>
      </c>
      <c r="G218" s="93"/>
      <c r="H218" s="93"/>
      <c r="K218" s="93"/>
      <c r="L218" s="93"/>
    </row>
    <row r="219" spans="1:48" ht="16.5" customHeight="1">
      <c r="B219" s="99"/>
      <c r="C219" s="101" t="s">
        <v>3630</v>
      </c>
      <c r="D219" s="93"/>
      <c r="E219" s="93" t="e">
        <f>GEOMEAN(B217:B219,B221:B228)</f>
        <v>#NUM!</v>
      </c>
      <c r="F219" s="108" t="s">
        <v>3682</v>
      </c>
      <c r="G219" s="93"/>
      <c r="H219" s="93"/>
      <c r="K219" s="161"/>
      <c r="L219" s="93"/>
    </row>
    <row r="220" spans="1:48" ht="16.5" customHeight="1">
      <c r="B220" s="99" t="e">
        <f>1/0</f>
        <v>#DIV/0!</v>
      </c>
      <c r="C220" s="101" t="s">
        <v>3632</v>
      </c>
      <c r="D220" s="93"/>
      <c r="E220" s="143" t="s">
        <v>5843</v>
      </c>
      <c r="I220" s="93"/>
      <c r="J220" s="143"/>
      <c r="K220" s="93"/>
      <c r="L220" s="93"/>
    </row>
    <row r="221" spans="1:48" ht="16.5" customHeight="1">
      <c r="B221" s="99">
        <v>0</v>
      </c>
      <c r="C221" s="101" t="s">
        <v>3633</v>
      </c>
      <c r="D221" s="93"/>
      <c r="E221" s="93">
        <f>GEOMEAN(B217:B219,B222:B228)</f>
        <v>11.656953366502911</v>
      </c>
      <c r="F221" s="108" t="s">
        <v>3683</v>
      </c>
      <c r="G221" s="93"/>
      <c r="H221" s="93"/>
      <c r="I221" s="93"/>
      <c r="J221" s="143"/>
      <c r="K221" s="93"/>
      <c r="L221" s="93"/>
    </row>
    <row r="222" spans="1:48" ht="16.5" customHeight="1">
      <c r="B222" s="99">
        <v>88</v>
      </c>
      <c r="C222" s="101" t="s">
        <v>3633</v>
      </c>
      <c r="D222" s="93"/>
      <c r="E222" s="143" t="s">
        <v>5844</v>
      </c>
      <c r="K222" s="93"/>
      <c r="L222" s="93"/>
    </row>
    <row r="223" spans="1:48" ht="16.5" customHeight="1">
      <c r="B223" s="202" t="s">
        <v>3634</v>
      </c>
      <c r="C223" s="101" t="s">
        <v>3635</v>
      </c>
      <c r="D223" s="93"/>
      <c r="L223" s="93"/>
    </row>
    <row r="224" spans="1:48" ht="16.5" customHeight="1">
      <c r="B224" s="99">
        <v>6</v>
      </c>
      <c r="C224" s="101" t="s">
        <v>3633</v>
      </c>
      <c r="D224" s="93"/>
      <c r="K224" s="93"/>
      <c r="L224" s="93"/>
    </row>
    <row r="225" spans="2:12" ht="16.5" customHeight="1">
      <c r="B225" s="99" t="s">
        <v>1904</v>
      </c>
      <c r="C225" s="101" t="s">
        <v>3088</v>
      </c>
      <c r="D225" s="93"/>
      <c r="E225" s="93"/>
      <c r="F225" s="93"/>
      <c r="G225" s="93"/>
      <c r="H225" s="93"/>
      <c r="I225" s="93"/>
      <c r="J225" s="93"/>
      <c r="K225" s="93"/>
      <c r="L225" s="93"/>
    </row>
    <row r="226" spans="2:12" ht="16.5" customHeight="1">
      <c r="B226" s="99" t="s">
        <v>3636</v>
      </c>
      <c r="C226" s="101" t="s">
        <v>3637</v>
      </c>
      <c r="D226" s="93"/>
      <c r="E226" s="93"/>
      <c r="F226" s="93"/>
      <c r="G226" s="161"/>
      <c r="H226" s="93"/>
      <c r="I226" s="93"/>
      <c r="J226" s="93"/>
      <c r="K226" s="93"/>
      <c r="L226" s="93"/>
    </row>
    <row r="227" spans="2:12" ht="16.5" customHeight="1">
      <c r="B227" s="99">
        <f>SUM(1,2)</f>
        <v>3</v>
      </c>
      <c r="C227" s="101" t="s">
        <v>1431</v>
      </c>
      <c r="D227" s="93"/>
      <c r="E227" s="93"/>
      <c r="F227" s="93"/>
      <c r="G227" s="161"/>
      <c r="H227" s="93"/>
      <c r="I227" s="93"/>
      <c r="J227" s="93"/>
      <c r="K227" s="93"/>
      <c r="L227" s="93"/>
    </row>
    <row r="228" spans="2:12" ht="16.5" customHeight="1">
      <c r="B228" s="105" t="str">
        <f>""</f>
        <v/>
      </c>
      <c r="C228" s="203" t="s">
        <v>3638</v>
      </c>
      <c r="D228" s="93"/>
      <c r="E228" s="93"/>
      <c r="F228" s="93"/>
      <c r="G228" s="161"/>
      <c r="H228" s="93"/>
      <c r="I228" s="93"/>
      <c r="J228" s="93"/>
      <c r="K228" s="93"/>
      <c r="L228" s="93"/>
    </row>
    <row r="229" spans="2:12" ht="16.5" customHeight="1">
      <c r="B229" s="93"/>
      <c r="C229" s="93"/>
      <c r="D229" s="93"/>
      <c r="E229" s="93"/>
      <c r="F229" s="93"/>
      <c r="G229" s="161"/>
      <c r="H229" s="93"/>
      <c r="I229" s="93"/>
      <c r="J229" s="93"/>
      <c r="K229" s="93"/>
      <c r="L229" s="93"/>
    </row>
    <row r="230" spans="2:12" ht="16.5" customHeight="1"/>
    <row r="300" spans="1:13" s="88" customFormat="1" ht="26.25" customHeight="1">
      <c r="A300" s="498" t="s">
        <v>405</v>
      </c>
      <c r="B300" s="498"/>
      <c r="C300" s="499"/>
      <c r="D300" s="87"/>
      <c r="E300" s="500" t="str">
        <f>HYPERLINK("#目录!A238","跳转回到目录页")</f>
        <v>跳转回到目录页</v>
      </c>
      <c r="F300" s="501"/>
    </row>
    <row r="301" spans="1:13" s="88" customFormat="1" ht="26.25" customHeight="1">
      <c r="A301" s="502" t="s">
        <v>1216</v>
      </c>
      <c r="B301" s="502"/>
      <c r="C301" s="503" t="s">
        <v>406</v>
      </c>
      <c r="D301" s="503"/>
      <c r="E301" s="503"/>
      <c r="F301" s="503"/>
      <c r="G301" s="503"/>
      <c r="H301" s="503"/>
      <c r="I301" s="503"/>
      <c r="J301" s="503"/>
      <c r="K301" s="503"/>
      <c r="L301" s="503"/>
      <c r="M301" s="503"/>
    </row>
    <row r="302" spans="1:13" s="88" customFormat="1" ht="16.5" customHeight="1">
      <c r="A302" s="496" t="s">
        <v>1217</v>
      </c>
      <c r="B302" s="496"/>
      <c r="C302" s="493" t="s">
        <v>3684</v>
      </c>
      <c r="D302" s="493"/>
      <c r="E302" s="493"/>
      <c r="F302" s="493"/>
      <c r="G302" s="493"/>
      <c r="H302" s="493"/>
      <c r="I302" s="493"/>
      <c r="J302" s="493"/>
      <c r="K302" s="493"/>
      <c r="L302" s="493"/>
      <c r="M302" s="493"/>
    </row>
    <row r="303" spans="1:13" s="88" customFormat="1" ht="16.5" customHeight="1">
      <c r="A303" s="496" t="s">
        <v>5786</v>
      </c>
      <c r="B303" s="496"/>
      <c r="C303" s="497" t="s">
        <v>406</v>
      </c>
      <c r="D303" s="497"/>
      <c r="E303" s="497"/>
      <c r="F303" s="497"/>
      <c r="G303" s="497"/>
      <c r="H303" s="497"/>
      <c r="I303" s="497"/>
      <c r="J303" s="497"/>
      <c r="K303" s="497"/>
      <c r="L303" s="497"/>
      <c r="M303" s="497"/>
    </row>
    <row r="304" spans="1:13" s="88" customFormat="1" ht="16.5" customHeight="1">
      <c r="A304" s="496" t="s">
        <v>1220</v>
      </c>
      <c r="B304" s="496"/>
      <c r="C304" s="493" t="s">
        <v>3685</v>
      </c>
      <c r="D304" s="493"/>
      <c r="E304" s="493"/>
      <c r="F304" s="493"/>
      <c r="G304" s="493"/>
      <c r="H304" s="493"/>
      <c r="I304" s="493"/>
      <c r="J304" s="493"/>
      <c r="K304" s="493"/>
      <c r="L304" s="493"/>
      <c r="M304" s="493"/>
    </row>
    <row r="305" spans="1:48" s="88" customFormat="1" ht="16.5" customHeight="1">
      <c r="A305" s="496" t="s">
        <v>5785</v>
      </c>
      <c r="B305" s="496"/>
      <c r="C305" s="493" t="s">
        <v>3686</v>
      </c>
      <c r="D305" s="493"/>
      <c r="E305" s="493"/>
      <c r="F305" s="493"/>
      <c r="G305" s="493"/>
      <c r="H305" s="493"/>
      <c r="I305" s="493"/>
      <c r="J305" s="493"/>
      <c r="K305" s="493"/>
      <c r="L305" s="493"/>
      <c r="M305" s="493"/>
    </row>
    <row r="306" spans="1:48" s="88" customFormat="1" ht="16.5" customHeight="1">
      <c r="A306" s="89" t="s">
        <v>1223</v>
      </c>
      <c r="B306" s="92" t="s">
        <v>2200</v>
      </c>
      <c r="C306" s="493" t="s">
        <v>3687</v>
      </c>
      <c r="D306" s="493"/>
      <c r="E306" s="493"/>
      <c r="F306" s="493"/>
      <c r="G306" s="493"/>
      <c r="H306" s="493"/>
      <c r="I306" s="493"/>
      <c r="J306" s="493"/>
      <c r="K306" s="493"/>
      <c r="L306" s="493"/>
      <c r="M306" s="493"/>
    </row>
    <row r="307" spans="1:48" s="88" customFormat="1" ht="16.5" customHeight="1">
      <c r="A307" s="89"/>
      <c r="B307" s="92"/>
      <c r="C307" s="493"/>
      <c r="D307" s="493"/>
      <c r="E307" s="493"/>
      <c r="F307" s="493"/>
      <c r="G307" s="493"/>
      <c r="H307" s="493"/>
      <c r="I307" s="493"/>
      <c r="J307" s="493"/>
      <c r="K307" s="493"/>
      <c r="L307" s="493"/>
      <c r="M307" s="493"/>
    </row>
    <row r="308" spans="1:48" s="88" customFormat="1" ht="16.5" customHeight="1">
      <c r="A308" s="89"/>
      <c r="B308" s="90"/>
      <c r="C308" s="493"/>
      <c r="D308" s="493"/>
      <c r="E308" s="493"/>
      <c r="F308" s="493"/>
      <c r="G308" s="493"/>
      <c r="H308" s="493"/>
      <c r="I308" s="493"/>
      <c r="J308" s="493"/>
      <c r="K308" s="493"/>
      <c r="L308" s="493"/>
      <c r="M308" s="493"/>
    </row>
    <row r="309" spans="1:48" s="88" customFormat="1" ht="16.5" customHeight="1">
      <c r="A309" s="89" t="s">
        <v>1228</v>
      </c>
      <c r="B309" s="493"/>
      <c r="C309" s="493"/>
      <c r="D309" s="493"/>
      <c r="E309" s="493"/>
      <c r="F309" s="493"/>
      <c r="G309" s="493"/>
      <c r="H309" s="493"/>
      <c r="I309" s="493"/>
      <c r="J309" s="493"/>
      <c r="K309" s="493"/>
      <c r="L309" s="493"/>
      <c r="M309" s="493"/>
    </row>
    <row r="310" spans="1:48" ht="83.25" customHeight="1">
      <c r="A310" s="89" t="s">
        <v>1229</v>
      </c>
      <c r="B310" s="673" t="s">
        <v>5845</v>
      </c>
      <c r="C310" s="673"/>
      <c r="D310" s="673"/>
      <c r="E310" s="673"/>
      <c r="F310" s="673"/>
      <c r="G310" s="673"/>
      <c r="H310" s="673"/>
      <c r="I310" s="673"/>
      <c r="J310" s="673"/>
      <c r="K310" s="673"/>
      <c r="L310" s="673"/>
      <c r="M310" s="673"/>
    </row>
    <row r="311" spans="1:48" ht="21" customHeight="1">
      <c r="B311" s="494" t="s">
        <v>1231</v>
      </c>
      <c r="C311" s="494"/>
      <c r="D311" s="494"/>
      <c r="E311" s="494"/>
      <c r="F311" s="494"/>
      <c r="G311" s="494"/>
      <c r="H311" s="494"/>
      <c r="I311" s="494"/>
      <c r="J311" s="494"/>
      <c r="K311" s="494"/>
      <c r="L311" s="495"/>
    </row>
    <row r="312" spans="1:48" s="93" customFormat="1" ht="16.5" customHeight="1"/>
    <row r="313" spans="1:48" s="93" customFormat="1" ht="16.5" customHeight="1">
      <c r="A313" s="94" t="s">
        <v>1232</v>
      </c>
      <c r="B313" s="93" t="s">
        <v>1773</v>
      </c>
    </row>
    <row r="314" spans="1:48" s="93" customFormat="1" ht="16.5" customHeight="1">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row>
    <row r="315" spans="1:48" ht="16.5" customHeight="1">
      <c r="B315" s="93"/>
      <c r="C315" s="93"/>
      <c r="D315" s="93"/>
      <c r="E315" s="93"/>
      <c r="F315" s="93"/>
      <c r="G315" s="93"/>
      <c r="H315" s="93"/>
      <c r="I315" s="93"/>
      <c r="J315" s="93"/>
      <c r="K315" s="93"/>
    </row>
    <row r="316" spans="1:48" ht="16.5" customHeight="1">
      <c r="B316" s="192" t="s">
        <v>3688</v>
      </c>
      <c r="C316" s="192"/>
      <c r="D316" s="192"/>
      <c r="E316" s="93"/>
      <c r="F316" s="93"/>
      <c r="G316" s="170"/>
      <c r="H316" s="93"/>
      <c r="I316" s="93"/>
      <c r="J316" s="93"/>
      <c r="K316" s="93"/>
    </row>
    <row r="317" spans="1:48" ht="16.5" customHeight="1">
      <c r="B317" s="187"/>
      <c r="C317" s="96" t="s">
        <v>3689</v>
      </c>
      <c r="D317" s="97" t="s">
        <v>3690</v>
      </c>
      <c r="E317" s="93"/>
      <c r="F317" s="93"/>
      <c r="G317" s="93"/>
      <c r="H317" s="93"/>
      <c r="I317" s="93"/>
      <c r="J317" s="93"/>
      <c r="K317" s="93"/>
    </row>
    <row r="318" spans="1:48" ht="16.5" customHeight="1">
      <c r="B318" s="99" t="s">
        <v>3691</v>
      </c>
      <c r="C318" s="110">
        <v>80</v>
      </c>
      <c r="D318" s="101">
        <v>6.3</v>
      </c>
      <c r="E318" s="93"/>
      <c r="F318" s="93"/>
      <c r="G318" s="170"/>
      <c r="H318" s="93"/>
      <c r="I318" s="93"/>
      <c r="J318" s="93"/>
      <c r="K318" s="93"/>
    </row>
    <row r="319" spans="1:48" ht="16.5" customHeight="1">
      <c r="B319" s="99" t="s">
        <v>3692</v>
      </c>
      <c r="C319" s="110">
        <v>92</v>
      </c>
      <c r="D319" s="101">
        <v>5.4</v>
      </c>
      <c r="E319" s="104" t="s">
        <v>1238</v>
      </c>
      <c r="F319" s="93"/>
      <c r="G319" s="93"/>
      <c r="H319" s="93"/>
      <c r="I319" s="93"/>
      <c r="J319" s="93"/>
      <c r="K319" s="93"/>
    </row>
    <row r="320" spans="1:48" ht="16.5" customHeight="1">
      <c r="B320" s="99" t="s">
        <v>3693</v>
      </c>
      <c r="C320" s="100" t="s">
        <v>3694</v>
      </c>
      <c r="D320" s="101">
        <f>HARMEAN(D318:D319)</f>
        <v>5.815384615384616</v>
      </c>
      <c r="E320" s="108" t="s">
        <v>3695</v>
      </c>
      <c r="F320" s="93"/>
      <c r="G320" s="93"/>
      <c r="H320" s="93"/>
      <c r="I320" s="93"/>
      <c r="J320" s="93"/>
      <c r="K320" s="93"/>
    </row>
    <row r="321" spans="2:11" ht="16.5" customHeight="1">
      <c r="B321" s="105" t="s">
        <v>3696</v>
      </c>
      <c r="C321" s="113">
        <f>SUM(C318:C319)</f>
        <v>172</v>
      </c>
      <c r="D321" s="150" t="s">
        <v>3694</v>
      </c>
      <c r="E321" s="93"/>
      <c r="F321" s="93"/>
      <c r="G321" s="93"/>
      <c r="H321" s="93"/>
      <c r="I321" s="93"/>
      <c r="J321" s="93"/>
      <c r="K321" s="93"/>
    </row>
    <row r="322" spans="2:11" ht="16.5" customHeight="1">
      <c r="B322" s="93"/>
      <c r="C322" s="93"/>
      <c r="D322" s="93"/>
      <c r="E322" s="93"/>
      <c r="F322" s="93"/>
      <c r="G322" s="170"/>
      <c r="H322" s="93"/>
      <c r="I322" s="93"/>
      <c r="J322" s="93"/>
      <c r="K322" s="93"/>
    </row>
    <row r="323" spans="2:11" ht="16.5" customHeight="1">
      <c r="B323" s="518" t="s">
        <v>3697</v>
      </c>
      <c r="C323" s="518"/>
      <c r="D323" s="93"/>
      <c r="E323" s="93"/>
      <c r="F323" s="93"/>
      <c r="G323" s="161"/>
      <c r="H323" s="93"/>
      <c r="I323" s="93"/>
      <c r="J323" s="93"/>
      <c r="K323" s="93"/>
    </row>
    <row r="324" spans="2:11" ht="16.5" customHeight="1">
      <c r="B324" s="187" t="s">
        <v>3698</v>
      </c>
      <c r="C324" s="138">
        <f>600/D320</f>
        <v>103.17460317460316</v>
      </c>
      <c r="D324" s="93"/>
      <c r="E324" s="93"/>
      <c r="F324" s="93"/>
      <c r="G324" s="161"/>
      <c r="H324" s="93"/>
      <c r="I324" s="93"/>
      <c r="J324" s="93"/>
      <c r="K324" s="93"/>
    </row>
    <row r="325" spans="2:11" ht="16.5" customHeight="1">
      <c r="B325" s="99" t="s">
        <v>3699</v>
      </c>
      <c r="C325" s="101">
        <v>2</v>
      </c>
      <c r="D325" s="93"/>
      <c r="E325" s="93"/>
      <c r="F325" s="93"/>
      <c r="G325" s="161"/>
      <c r="H325" s="93"/>
      <c r="I325" s="93"/>
      <c r="J325" s="93"/>
      <c r="K325" s="93"/>
    </row>
    <row r="326" spans="2:11" ht="16.5" customHeight="1">
      <c r="B326" s="105" t="s">
        <v>3696</v>
      </c>
      <c r="C326" s="107">
        <f>C324*C325</f>
        <v>206.34920634920633</v>
      </c>
      <c r="D326" s="93"/>
      <c r="E326" s="93"/>
      <c r="F326" s="93"/>
      <c r="G326" s="161"/>
      <c r="H326" s="93"/>
      <c r="I326" s="93"/>
      <c r="J326" s="93"/>
      <c r="K326" s="93"/>
    </row>
    <row r="327" spans="2:11" ht="16.5" customHeight="1">
      <c r="B327" s="93"/>
      <c r="C327" s="93"/>
      <c r="D327" s="93"/>
      <c r="E327" s="93"/>
      <c r="F327" s="93"/>
      <c r="G327" s="161"/>
      <c r="H327" s="93"/>
      <c r="I327" s="93"/>
      <c r="J327" s="93"/>
      <c r="K327" s="93"/>
    </row>
    <row r="328" spans="2:11">
      <c r="B328" s="93"/>
      <c r="C328" s="93"/>
      <c r="D328" s="93"/>
      <c r="E328" s="93"/>
      <c r="F328" s="93"/>
      <c r="G328" s="161"/>
      <c r="H328" s="93"/>
      <c r="I328" s="93"/>
      <c r="J328" s="93"/>
      <c r="K328" s="93"/>
    </row>
    <row r="329" spans="2:11">
      <c r="B329" s="93"/>
      <c r="C329" s="93"/>
      <c r="D329" s="93"/>
      <c r="E329" s="93"/>
      <c r="F329" s="93"/>
      <c r="G329" s="93"/>
      <c r="H329" s="93"/>
      <c r="I329" s="93"/>
      <c r="J329" s="93"/>
      <c r="K329" s="93"/>
    </row>
    <row r="330" spans="2:11">
      <c r="B330" s="93"/>
      <c r="C330" s="93"/>
      <c r="D330" s="93"/>
      <c r="E330" s="93"/>
      <c r="F330" s="93"/>
      <c r="G330" s="93"/>
      <c r="H330" s="93"/>
      <c r="I330" s="93"/>
      <c r="J330" s="93"/>
      <c r="K330" s="93"/>
    </row>
    <row r="331" spans="2:11">
      <c r="B331" s="93"/>
      <c r="C331" s="93"/>
      <c r="D331" s="93"/>
      <c r="E331" s="93"/>
      <c r="F331" s="93"/>
      <c r="G331" s="93"/>
      <c r="H331" s="93"/>
      <c r="I331" s="93"/>
      <c r="J331" s="93"/>
      <c r="K331" s="93"/>
    </row>
  </sheetData>
  <mergeCells count="73">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 ref="A300:C300"/>
    <mergeCell ref="E300:F300"/>
    <mergeCell ref="A301:B301"/>
    <mergeCell ref="C301:M301"/>
    <mergeCell ref="A302:B302"/>
    <mergeCell ref="C302:M302"/>
    <mergeCell ref="A303:B303"/>
    <mergeCell ref="C303:M303"/>
    <mergeCell ref="A304:B304"/>
    <mergeCell ref="C304:M304"/>
    <mergeCell ref="A305:B305"/>
    <mergeCell ref="C305:M305"/>
    <mergeCell ref="B323:C323"/>
    <mergeCell ref="C306:M306"/>
    <mergeCell ref="C307:M307"/>
    <mergeCell ref="C308:M308"/>
    <mergeCell ref="B309:M309"/>
    <mergeCell ref="B310:M310"/>
    <mergeCell ref="B311:L311"/>
  </mergeCells>
  <phoneticPr fontId="2" type="noConversion"/>
  <pageMargins left="0.75" right="0.75" top="1" bottom="1" header="0.5" footer="0.5"/>
  <headerFooter scaleWithDoc="0"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dimension ref="A1:AV130"/>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408</v>
      </c>
      <c r="B1" s="498"/>
      <c r="C1" s="499"/>
      <c r="D1" s="87"/>
      <c r="E1" s="500" t="str">
        <f>HYPERLINK("#目录!A240","跳转回到目录页")</f>
        <v>跳转回到目录页</v>
      </c>
      <c r="F1" s="501"/>
    </row>
    <row r="2" spans="1:48" s="88" customFormat="1" ht="26.25" customHeight="1">
      <c r="A2" s="502" t="s">
        <v>1216</v>
      </c>
      <c r="B2" s="502"/>
      <c r="C2" s="503" t="s">
        <v>409</v>
      </c>
      <c r="D2" s="503"/>
      <c r="E2" s="503"/>
      <c r="F2" s="503"/>
      <c r="G2" s="503"/>
      <c r="H2" s="503"/>
      <c r="I2" s="503"/>
      <c r="J2" s="503"/>
      <c r="K2" s="503"/>
      <c r="L2" s="503"/>
      <c r="M2" s="503"/>
    </row>
    <row r="3" spans="1:48" s="88" customFormat="1" ht="16.5" customHeight="1">
      <c r="A3" s="496" t="s">
        <v>1217</v>
      </c>
      <c r="B3" s="496"/>
      <c r="C3" s="493" t="s">
        <v>3700</v>
      </c>
      <c r="D3" s="493"/>
      <c r="E3" s="493"/>
      <c r="F3" s="493"/>
      <c r="G3" s="493"/>
      <c r="H3" s="493"/>
      <c r="I3" s="493"/>
      <c r="J3" s="493"/>
      <c r="K3" s="493"/>
      <c r="L3" s="493"/>
      <c r="M3" s="493"/>
    </row>
    <row r="4" spans="1:48" s="88" customFormat="1" ht="16.5" customHeight="1">
      <c r="A4" s="496" t="s">
        <v>5786</v>
      </c>
      <c r="B4" s="496"/>
      <c r="C4" s="497" t="s">
        <v>5830</v>
      </c>
      <c r="D4" s="497"/>
      <c r="E4" s="497"/>
      <c r="F4" s="497"/>
      <c r="G4" s="497"/>
      <c r="H4" s="497"/>
      <c r="I4" s="497"/>
      <c r="J4" s="497"/>
      <c r="K4" s="497"/>
      <c r="L4" s="497"/>
      <c r="M4" s="497"/>
    </row>
    <row r="5" spans="1:48" s="88" customFormat="1" ht="16.5" customHeight="1">
      <c r="A5" s="496" t="s">
        <v>1220</v>
      </c>
      <c r="B5" s="496"/>
      <c r="C5" s="493" t="s">
        <v>3701</v>
      </c>
      <c r="D5" s="493"/>
      <c r="E5" s="493"/>
      <c r="F5" s="493"/>
      <c r="G5" s="493"/>
      <c r="H5" s="493"/>
      <c r="I5" s="493"/>
      <c r="J5" s="493"/>
      <c r="K5" s="493"/>
      <c r="L5" s="493"/>
      <c r="M5" s="493"/>
    </row>
    <row r="6" spans="1:48" s="88" customFormat="1" ht="16.5" customHeight="1">
      <c r="A6" s="496" t="s">
        <v>5785</v>
      </c>
      <c r="B6" s="496"/>
      <c r="C6" s="493" t="s">
        <v>3702</v>
      </c>
      <c r="D6" s="493"/>
      <c r="E6" s="493"/>
      <c r="F6" s="493"/>
      <c r="G6" s="493"/>
      <c r="H6" s="493"/>
      <c r="I6" s="493"/>
      <c r="J6" s="493"/>
      <c r="K6" s="493"/>
      <c r="L6" s="493"/>
      <c r="M6" s="493"/>
    </row>
    <row r="7" spans="1:48" s="88" customFormat="1" ht="16.5" customHeight="1">
      <c r="A7" s="89" t="s">
        <v>1223</v>
      </c>
      <c r="B7" s="92" t="s">
        <v>2200</v>
      </c>
      <c r="C7" s="493" t="s">
        <v>3703</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38.25" customHeight="1">
      <c r="A11" s="89" t="s">
        <v>1229</v>
      </c>
      <c r="B11" s="493" t="s">
        <v>3704</v>
      </c>
      <c r="C11" s="493"/>
      <c r="D11" s="493"/>
      <c r="E11" s="493"/>
      <c r="F11" s="493"/>
      <c r="G11" s="493"/>
      <c r="H11" s="493"/>
      <c r="I11" s="493"/>
      <c r="J11" s="493"/>
      <c r="K11" s="493"/>
      <c r="L11" s="493"/>
      <c r="M11" s="49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3" t="s">
        <v>3705</v>
      </c>
      <c r="G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G17" s="1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97">
        <v>1</v>
      </c>
      <c r="C18" s="198">
        <v>2</v>
      </c>
      <c r="D18" s="198">
        <v>2</v>
      </c>
      <c r="E18" s="199">
        <v>2</v>
      </c>
      <c r="F18" s="198">
        <v>4</v>
      </c>
      <c r="G18" s="198">
        <v>8</v>
      </c>
      <c r="H18" s="200">
        <v>18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E19" s="94" t="s">
        <v>3706</v>
      </c>
      <c r="G19" s="18"/>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G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97">
        <v>1</v>
      </c>
      <c r="C21" s="198">
        <v>2</v>
      </c>
      <c r="D21" s="198">
        <v>2</v>
      </c>
      <c r="E21" s="199">
        <v>2</v>
      </c>
      <c r="F21" s="199">
        <v>3</v>
      </c>
      <c r="G21" s="198">
        <v>4</v>
      </c>
      <c r="H21" s="198">
        <v>8</v>
      </c>
      <c r="I21" s="200">
        <v>18</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E22" s="518" t="s">
        <v>3707</v>
      </c>
      <c r="F22" s="518"/>
      <c r="G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3" t="s">
        <v>3708</v>
      </c>
      <c r="G23" s="18"/>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G24" s="189"/>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G25" s="189"/>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92" t="s">
        <v>3709</v>
      </c>
      <c r="C26" s="192"/>
      <c r="G26" s="16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5" t="s">
        <v>1246</v>
      </c>
      <c r="C27" s="97" t="s">
        <v>3710</v>
      </c>
      <c r="G27" s="104" t="s">
        <v>1238</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1375</v>
      </c>
      <c r="C28" s="112"/>
      <c r="E28" s="94" t="s">
        <v>3706</v>
      </c>
      <c r="F28" s="93">
        <f>MEDIAN(C29:C38)</f>
        <v>5.5</v>
      </c>
      <c r="G28" s="108" t="s">
        <v>3711</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1" t="s">
        <v>1843</v>
      </c>
      <c r="C29" s="112">
        <v>5</v>
      </c>
      <c r="E29" s="94" t="s">
        <v>3712</v>
      </c>
      <c r="F29" s="93">
        <f>AVERAGE(C29:C38)</f>
        <v>5.7</v>
      </c>
      <c r="G29" s="108" t="s">
        <v>3713</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11" t="s">
        <v>1845</v>
      </c>
      <c r="C30" s="112">
        <v>8</v>
      </c>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111" t="s">
        <v>1847</v>
      </c>
      <c r="C31" s="112">
        <v>0</v>
      </c>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111" t="s">
        <v>1848</v>
      </c>
      <c r="C32" s="112">
        <v>6</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B33" s="111" t="s">
        <v>1849</v>
      </c>
      <c r="C33" s="112">
        <v>6</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B34" s="111" t="s">
        <v>1850</v>
      </c>
      <c r="C34" s="112">
        <v>20</v>
      </c>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B35" s="111" t="s">
        <v>1851</v>
      </c>
      <c r="C35" s="112">
        <v>3</v>
      </c>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B36" s="111" t="s">
        <v>1852</v>
      </c>
      <c r="C36" s="112">
        <v>2</v>
      </c>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B37" s="111" t="s">
        <v>1853</v>
      </c>
      <c r="C37" s="112">
        <v>7</v>
      </c>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B38" s="111" t="s">
        <v>1854</v>
      </c>
      <c r="C38" s="112">
        <v>0</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B39" s="151" t="s">
        <v>1375</v>
      </c>
      <c r="C39" s="107"/>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410</v>
      </c>
      <c r="B100" s="498"/>
      <c r="C100" s="499"/>
      <c r="D100" s="87"/>
      <c r="E100" s="500" t="str">
        <f>HYPERLINK("#目录!A241","跳转回到目录页")</f>
        <v>跳转回到目录页</v>
      </c>
      <c r="F100" s="501"/>
    </row>
    <row r="101" spans="1:13" s="88" customFormat="1" ht="26.25" customHeight="1">
      <c r="A101" s="502" t="s">
        <v>1216</v>
      </c>
      <c r="B101" s="502"/>
      <c r="C101" s="503" t="s">
        <v>411</v>
      </c>
      <c r="D101" s="503"/>
      <c r="E101" s="503"/>
      <c r="F101" s="503"/>
      <c r="G101" s="503"/>
      <c r="H101" s="503"/>
      <c r="I101" s="503"/>
      <c r="J101" s="503"/>
      <c r="K101" s="503"/>
      <c r="L101" s="503"/>
      <c r="M101" s="503"/>
    </row>
    <row r="102" spans="1:13" s="88" customFormat="1" ht="16.5" customHeight="1">
      <c r="A102" s="496" t="s">
        <v>1217</v>
      </c>
      <c r="B102" s="496"/>
      <c r="C102" s="493" t="s">
        <v>5831</v>
      </c>
      <c r="D102" s="493"/>
      <c r="E102" s="493"/>
      <c r="F102" s="493"/>
      <c r="G102" s="493"/>
      <c r="H102" s="493"/>
      <c r="I102" s="493"/>
      <c r="J102" s="493"/>
      <c r="K102" s="493"/>
      <c r="L102" s="493"/>
      <c r="M102" s="493"/>
    </row>
    <row r="103" spans="1:13" s="88" customFormat="1" ht="16.5" customHeight="1">
      <c r="A103" s="496" t="s">
        <v>5786</v>
      </c>
      <c r="B103" s="496"/>
      <c r="C103" s="497" t="s">
        <v>5832</v>
      </c>
      <c r="D103" s="497"/>
      <c r="E103" s="497"/>
      <c r="F103" s="497"/>
      <c r="G103" s="497"/>
      <c r="H103" s="497"/>
      <c r="I103" s="497"/>
      <c r="J103" s="497"/>
      <c r="K103" s="497"/>
      <c r="L103" s="497"/>
      <c r="M103" s="497"/>
    </row>
    <row r="104" spans="1:13" s="88" customFormat="1" ht="16.5" customHeight="1">
      <c r="A104" s="496" t="s">
        <v>1220</v>
      </c>
      <c r="B104" s="496"/>
      <c r="C104" s="493" t="s">
        <v>3714</v>
      </c>
      <c r="D104" s="493"/>
      <c r="E104" s="493"/>
      <c r="F104" s="493"/>
      <c r="G104" s="493"/>
      <c r="H104" s="493"/>
      <c r="I104" s="493"/>
      <c r="J104" s="493"/>
      <c r="K104" s="493"/>
      <c r="L104" s="493"/>
      <c r="M104" s="493"/>
    </row>
    <row r="105" spans="1:13" s="88" customFormat="1" ht="16.5" customHeight="1">
      <c r="A105" s="496" t="s">
        <v>5785</v>
      </c>
      <c r="B105" s="496"/>
      <c r="C105" s="493" t="s">
        <v>3715</v>
      </c>
      <c r="D105" s="493"/>
      <c r="E105" s="493"/>
      <c r="F105" s="493"/>
      <c r="G105" s="493"/>
      <c r="H105" s="493"/>
      <c r="I105" s="493"/>
      <c r="J105" s="493"/>
      <c r="K105" s="493"/>
      <c r="L105" s="493"/>
      <c r="M105" s="493"/>
    </row>
    <row r="106" spans="1:13" s="88" customFormat="1" ht="16.5" customHeight="1">
      <c r="A106" s="89" t="s">
        <v>1223</v>
      </c>
      <c r="B106" s="92" t="s">
        <v>2200</v>
      </c>
      <c r="C106" s="493" t="s">
        <v>3716</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38.25" customHeight="1">
      <c r="A109" s="89" t="s">
        <v>1228</v>
      </c>
      <c r="B109" s="674" t="s">
        <v>5833</v>
      </c>
      <c r="C109" s="493"/>
      <c r="D109" s="493"/>
      <c r="E109" s="493"/>
      <c r="F109" s="493"/>
      <c r="G109" s="493"/>
      <c r="H109" s="493"/>
      <c r="I109" s="493"/>
      <c r="J109" s="493"/>
      <c r="K109" s="493"/>
      <c r="L109" s="493"/>
      <c r="M109" s="493"/>
    </row>
    <row r="110" spans="1:13" ht="38.25" customHeight="1">
      <c r="A110" s="89" t="s">
        <v>1229</v>
      </c>
      <c r="B110" s="493" t="s">
        <v>3717</v>
      </c>
      <c r="C110" s="493"/>
      <c r="D110" s="493"/>
      <c r="E110" s="493"/>
      <c r="F110" s="493"/>
      <c r="G110" s="493"/>
      <c r="H110" s="493"/>
      <c r="I110" s="493"/>
      <c r="J110" s="493"/>
      <c r="K110" s="493"/>
      <c r="L110" s="493"/>
      <c r="M110" s="493"/>
    </row>
    <row r="111" spans="1:13" ht="21" customHeight="1">
      <c r="B111" s="494" t="s">
        <v>1231</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row>
    <row r="114" spans="1:7" ht="16.5" customHeight="1"/>
    <row r="115" spans="1:7" ht="16.5" customHeight="1"/>
    <row r="116" spans="1:7" ht="16.5" customHeight="1">
      <c r="B116" s="192" t="s">
        <v>3709</v>
      </c>
      <c r="C116" s="192"/>
    </row>
    <row r="117" spans="1:7" ht="16.5" customHeight="1">
      <c r="B117" s="95" t="s">
        <v>1246</v>
      </c>
      <c r="C117" s="97" t="s">
        <v>3710</v>
      </c>
      <c r="E117" s="93"/>
      <c r="F117" s="93"/>
      <c r="G117" s="104" t="s">
        <v>1238</v>
      </c>
    </row>
    <row r="118" spans="1:7" ht="16.5" customHeight="1">
      <c r="B118" s="111" t="s">
        <v>1375</v>
      </c>
      <c r="C118" s="112"/>
      <c r="E118" s="94" t="s">
        <v>3718</v>
      </c>
      <c r="F118" s="93">
        <f>MODE(C119:C128)</f>
        <v>0</v>
      </c>
      <c r="G118" s="108" t="s">
        <v>3719</v>
      </c>
    </row>
    <row r="119" spans="1:7" ht="16.5" customHeight="1">
      <c r="B119" s="111" t="s">
        <v>1843</v>
      </c>
      <c r="C119" s="112">
        <v>5</v>
      </c>
      <c r="E119" s="94" t="s">
        <v>3712</v>
      </c>
      <c r="F119" s="93">
        <f>AVERAGE(C119:C128)</f>
        <v>5.7</v>
      </c>
      <c r="G119" s="108" t="s">
        <v>3720</v>
      </c>
    </row>
    <row r="120" spans="1:7" ht="16.5" customHeight="1">
      <c r="B120" s="111" t="s">
        <v>1845</v>
      </c>
      <c r="C120" s="112">
        <v>8</v>
      </c>
      <c r="E120" s="93"/>
      <c r="F120" s="93"/>
      <c r="G120" s="93" t="s">
        <v>3721</v>
      </c>
    </row>
    <row r="121" spans="1:7" ht="16.5" customHeight="1">
      <c r="B121" s="111" t="s">
        <v>1847</v>
      </c>
      <c r="C121" s="112">
        <v>0</v>
      </c>
    </row>
    <row r="122" spans="1:7" ht="16.5" customHeight="1">
      <c r="B122" s="111" t="s">
        <v>1848</v>
      </c>
      <c r="C122" s="112">
        <v>6</v>
      </c>
    </row>
    <row r="123" spans="1:7" ht="16.5" customHeight="1">
      <c r="B123" s="111" t="s">
        <v>1849</v>
      </c>
      <c r="C123" s="112">
        <v>6</v>
      </c>
    </row>
    <row r="124" spans="1:7" ht="16.5" customHeight="1">
      <c r="B124" s="111" t="s">
        <v>1850</v>
      </c>
      <c r="C124" s="112">
        <v>20</v>
      </c>
    </row>
    <row r="125" spans="1:7" ht="16.5" customHeight="1">
      <c r="B125" s="111" t="s">
        <v>1851</v>
      </c>
      <c r="C125" s="112">
        <v>3</v>
      </c>
    </row>
    <row r="126" spans="1:7" ht="16.5" customHeight="1">
      <c r="B126" s="111" t="s">
        <v>1852</v>
      </c>
      <c r="C126" s="112">
        <v>2</v>
      </c>
    </row>
    <row r="127" spans="1:7" ht="16.5" customHeight="1">
      <c r="B127" s="111" t="s">
        <v>1853</v>
      </c>
      <c r="C127" s="112">
        <v>7</v>
      </c>
    </row>
    <row r="128" spans="1:7" ht="16.5" customHeight="1">
      <c r="B128" s="111" t="s">
        <v>1854</v>
      </c>
      <c r="C128" s="112">
        <v>0</v>
      </c>
    </row>
    <row r="129" spans="2:3" ht="16.5" customHeight="1">
      <c r="B129" s="151" t="s">
        <v>1375</v>
      </c>
      <c r="C129" s="107"/>
    </row>
    <row r="130" spans="2:3" ht="16.5" customHeight="1"/>
  </sheetData>
  <mergeCells count="37">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E22:F22"/>
    <mergeCell ref="A100:C100"/>
    <mergeCell ref="E100:F100"/>
    <mergeCell ref="A101:B101"/>
    <mergeCell ref="C101:M101"/>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dimension ref="A1:AV330"/>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413</v>
      </c>
      <c r="B1" s="498"/>
      <c r="C1" s="499"/>
      <c r="D1" s="87"/>
      <c r="E1" s="500" t="str">
        <f>HYPERLINK("#目录!A243","跳转回到目录页")</f>
        <v>跳转回到目录页</v>
      </c>
      <c r="F1" s="501"/>
    </row>
    <row r="2" spans="1:48" s="88" customFormat="1" ht="26.25" customHeight="1">
      <c r="A2" s="502" t="s">
        <v>1216</v>
      </c>
      <c r="B2" s="502"/>
      <c r="C2" s="503" t="s">
        <v>414</v>
      </c>
      <c r="D2" s="503"/>
      <c r="E2" s="503"/>
      <c r="F2" s="503"/>
      <c r="G2" s="503"/>
      <c r="H2" s="503"/>
      <c r="I2" s="503"/>
      <c r="J2" s="503"/>
      <c r="K2" s="503"/>
      <c r="L2" s="503"/>
      <c r="M2" s="503"/>
    </row>
    <row r="3" spans="1:48" s="88" customFormat="1" ht="16.5" customHeight="1">
      <c r="A3" s="496" t="s">
        <v>1217</v>
      </c>
      <c r="B3" s="496"/>
      <c r="C3" s="493" t="s">
        <v>3722</v>
      </c>
      <c r="D3" s="493"/>
      <c r="E3" s="493"/>
      <c r="F3" s="493"/>
      <c r="G3" s="493"/>
      <c r="H3" s="493"/>
      <c r="I3" s="493"/>
      <c r="J3" s="493"/>
      <c r="K3" s="493"/>
      <c r="L3" s="493"/>
      <c r="M3" s="493"/>
    </row>
    <row r="4" spans="1:48" s="88" customFormat="1" ht="16.5" customHeight="1">
      <c r="A4" s="496" t="s">
        <v>5786</v>
      </c>
      <c r="B4" s="496"/>
      <c r="C4" s="497" t="s">
        <v>3723</v>
      </c>
      <c r="D4" s="497"/>
      <c r="E4" s="497"/>
      <c r="F4" s="497"/>
      <c r="G4" s="497"/>
      <c r="H4" s="497"/>
      <c r="I4" s="497"/>
      <c r="J4" s="497"/>
      <c r="K4" s="497"/>
      <c r="L4" s="497"/>
      <c r="M4" s="497"/>
    </row>
    <row r="5" spans="1:48" s="88" customFormat="1" ht="16.5" customHeight="1">
      <c r="A5" s="496" t="s">
        <v>1220</v>
      </c>
      <c r="B5" s="496"/>
      <c r="C5" s="493" t="s">
        <v>3724</v>
      </c>
      <c r="D5" s="493"/>
      <c r="E5" s="493"/>
      <c r="F5" s="493"/>
      <c r="G5" s="493"/>
      <c r="H5" s="493"/>
      <c r="I5" s="493"/>
      <c r="J5" s="493"/>
      <c r="K5" s="493"/>
      <c r="L5" s="493"/>
      <c r="M5" s="493"/>
    </row>
    <row r="6" spans="1:48" s="88" customFormat="1" ht="16.5" customHeight="1">
      <c r="A6" s="496" t="s">
        <v>5785</v>
      </c>
      <c r="B6" s="496"/>
      <c r="C6" s="493" t="s">
        <v>3725</v>
      </c>
      <c r="D6" s="493"/>
      <c r="E6" s="493"/>
      <c r="F6" s="493"/>
      <c r="G6" s="493"/>
      <c r="H6" s="493"/>
      <c r="I6" s="493"/>
      <c r="J6" s="493"/>
      <c r="K6" s="493"/>
      <c r="L6" s="493"/>
      <c r="M6" s="493"/>
    </row>
    <row r="7" spans="1:48" s="88" customFormat="1" ht="16.5" customHeight="1">
      <c r="A7" s="89" t="s">
        <v>1223</v>
      </c>
      <c r="B7" s="92" t="s">
        <v>2200</v>
      </c>
      <c r="C7" s="493" t="s">
        <v>3726</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53.25" customHeight="1">
      <c r="A11" s="89" t="s">
        <v>1229</v>
      </c>
      <c r="B11" s="493" t="s">
        <v>3727</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G16" s="189"/>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92" t="s">
        <v>3709</v>
      </c>
      <c r="C17" s="192"/>
      <c r="G17" s="189"/>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1246</v>
      </c>
      <c r="C18" s="97" t="s">
        <v>3710</v>
      </c>
      <c r="F18" s="104" t="s">
        <v>1238</v>
      </c>
      <c r="G18" s="189"/>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1375</v>
      </c>
      <c r="C19" s="112"/>
      <c r="E19" s="93">
        <f>MAX(C20:C29)</f>
        <v>20</v>
      </c>
      <c r="F19" s="158" t="s">
        <v>3719</v>
      </c>
      <c r="G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1843</v>
      </c>
      <c r="C20" s="112">
        <v>5</v>
      </c>
      <c r="G20" s="18"/>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1845</v>
      </c>
      <c r="C21" s="112">
        <v>8</v>
      </c>
      <c r="G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1847</v>
      </c>
      <c r="C22" s="112">
        <v>0</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1848</v>
      </c>
      <c r="C23" s="112">
        <v>6</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1849</v>
      </c>
      <c r="C24" s="112">
        <v>6</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1850</v>
      </c>
      <c r="C25" s="112">
        <v>20</v>
      </c>
      <c r="G25" s="189"/>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1851</v>
      </c>
      <c r="C26" s="112">
        <v>3</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1852</v>
      </c>
      <c r="C27" s="112">
        <v>2</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1853</v>
      </c>
      <c r="C28" s="112">
        <v>7</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1" t="s">
        <v>1854</v>
      </c>
      <c r="C29" s="112">
        <v>0</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51" t="s">
        <v>1375</v>
      </c>
      <c r="C30" s="107"/>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415</v>
      </c>
      <c r="B100" s="498"/>
      <c r="C100" s="499"/>
      <c r="D100" s="87"/>
      <c r="E100" s="500" t="str">
        <f>HYPERLINK("#目录!A244","跳转回到目录页")</f>
        <v>跳转回到目录页</v>
      </c>
      <c r="F100" s="501"/>
    </row>
    <row r="101" spans="1:13" s="88" customFormat="1" ht="26.25" customHeight="1">
      <c r="A101" s="502" t="s">
        <v>1216</v>
      </c>
      <c r="B101" s="502"/>
      <c r="C101" s="503" t="s">
        <v>416</v>
      </c>
      <c r="D101" s="503"/>
      <c r="E101" s="503"/>
      <c r="F101" s="503"/>
      <c r="G101" s="503"/>
      <c r="H101" s="503"/>
      <c r="I101" s="503"/>
      <c r="J101" s="503"/>
      <c r="K101" s="503"/>
      <c r="L101" s="503"/>
      <c r="M101" s="503"/>
    </row>
    <row r="102" spans="1:13" s="88" customFormat="1" ht="16.5" customHeight="1">
      <c r="A102" s="496" t="s">
        <v>1217</v>
      </c>
      <c r="B102" s="496"/>
      <c r="C102" s="493" t="s">
        <v>3728</v>
      </c>
      <c r="D102" s="493"/>
      <c r="E102" s="493"/>
      <c r="F102" s="493"/>
      <c r="G102" s="493"/>
      <c r="H102" s="493"/>
      <c r="I102" s="493"/>
      <c r="J102" s="493"/>
      <c r="K102" s="493"/>
      <c r="L102" s="493"/>
      <c r="M102" s="493"/>
    </row>
    <row r="103" spans="1:13" s="88" customFormat="1" ht="16.5" customHeight="1">
      <c r="A103" s="496" t="s">
        <v>5786</v>
      </c>
      <c r="B103" s="496"/>
      <c r="C103" s="497" t="s">
        <v>3729</v>
      </c>
      <c r="D103" s="497"/>
      <c r="E103" s="497"/>
      <c r="F103" s="497"/>
      <c r="G103" s="497"/>
      <c r="H103" s="497"/>
      <c r="I103" s="497"/>
      <c r="J103" s="497"/>
      <c r="K103" s="497"/>
      <c r="L103" s="497"/>
      <c r="M103" s="497"/>
    </row>
    <row r="104" spans="1:13" s="88" customFormat="1" ht="16.5" customHeight="1">
      <c r="A104" s="496" t="s">
        <v>1220</v>
      </c>
      <c r="B104" s="496"/>
      <c r="C104" s="493" t="s">
        <v>3730</v>
      </c>
      <c r="D104" s="493"/>
      <c r="E104" s="493"/>
      <c r="F104" s="493"/>
      <c r="G104" s="493"/>
      <c r="H104" s="493"/>
      <c r="I104" s="493"/>
      <c r="J104" s="493"/>
      <c r="K104" s="493"/>
      <c r="L104" s="493"/>
      <c r="M104" s="493"/>
    </row>
    <row r="105" spans="1:13" s="88" customFormat="1" ht="16.5" customHeight="1">
      <c r="A105" s="496" t="s">
        <v>5785</v>
      </c>
      <c r="B105" s="496"/>
      <c r="C105" s="493" t="s">
        <v>3731</v>
      </c>
      <c r="D105" s="493"/>
      <c r="E105" s="493"/>
      <c r="F105" s="493"/>
      <c r="G105" s="493"/>
      <c r="H105" s="493"/>
      <c r="I105" s="493"/>
      <c r="J105" s="493"/>
      <c r="K105" s="493"/>
      <c r="L105" s="493"/>
      <c r="M105" s="493"/>
    </row>
    <row r="106" spans="1:13" s="88" customFormat="1" ht="16.5" customHeight="1">
      <c r="A106" s="89" t="s">
        <v>1223</v>
      </c>
      <c r="B106" s="92" t="s">
        <v>3299</v>
      </c>
      <c r="C106" s="493" t="s">
        <v>3732</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3733</v>
      </c>
      <c r="C109" s="493"/>
      <c r="D109" s="493"/>
      <c r="E109" s="493"/>
      <c r="F109" s="493"/>
      <c r="G109" s="493"/>
      <c r="H109" s="493"/>
      <c r="I109" s="493"/>
      <c r="J109" s="493"/>
      <c r="K109" s="493"/>
      <c r="L109" s="493"/>
      <c r="M109" s="493"/>
    </row>
    <row r="110" spans="1:13" ht="65.25" customHeight="1">
      <c r="A110" s="89" t="s">
        <v>1229</v>
      </c>
      <c r="B110" s="493" t="s">
        <v>3734</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c r="B115" s="93"/>
      <c r="C115" s="93"/>
      <c r="D115" s="93"/>
      <c r="E115" s="93"/>
      <c r="F115" s="93"/>
      <c r="G115" s="161"/>
      <c r="H115" s="93"/>
      <c r="I115" s="93"/>
      <c r="J115" s="93"/>
      <c r="K115" s="93"/>
    </row>
    <row r="116" spans="1:48" ht="16.5" customHeight="1">
      <c r="B116" s="192" t="s">
        <v>3709</v>
      </c>
      <c r="C116" s="192"/>
      <c r="D116" s="93"/>
      <c r="E116" s="93"/>
      <c r="F116" s="93"/>
      <c r="G116" s="161"/>
      <c r="H116" s="93"/>
      <c r="I116" s="93"/>
      <c r="J116" s="93"/>
      <c r="K116" s="93"/>
    </row>
    <row r="117" spans="1:48" ht="16.5" customHeight="1">
      <c r="B117" s="95" t="s">
        <v>1246</v>
      </c>
      <c r="C117" s="97" t="s">
        <v>3710</v>
      </c>
      <c r="D117" s="93"/>
      <c r="E117" s="93"/>
      <c r="F117" s="104" t="s">
        <v>1238</v>
      </c>
      <c r="G117" s="161"/>
      <c r="H117" s="93"/>
      <c r="I117" s="93"/>
      <c r="J117" s="93"/>
      <c r="K117" s="93"/>
    </row>
    <row r="118" spans="1:48" ht="16.5" customHeight="1">
      <c r="B118" s="111" t="s">
        <v>1375</v>
      </c>
      <c r="C118" s="112"/>
      <c r="D118" s="93"/>
      <c r="E118" s="93">
        <f>MAXA(C119:C134)</f>
        <v>20</v>
      </c>
      <c r="F118" s="108" t="s">
        <v>3735</v>
      </c>
      <c r="G118" s="161"/>
      <c r="H118" s="93"/>
      <c r="I118" s="93"/>
      <c r="J118" s="93"/>
      <c r="K118" s="93"/>
    </row>
    <row r="119" spans="1:48" ht="16.5" customHeight="1">
      <c r="B119" s="111" t="s">
        <v>1843</v>
      </c>
      <c r="C119" s="112">
        <v>5</v>
      </c>
      <c r="D119" s="93"/>
      <c r="E119" s="93"/>
      <c r="F119" s="93"/>
      <c r="G119" s="93"/>
      <c r="H119" s="93"/>
      <c r="I119" s="93"/>
      <c r="J119" s="93"/>
      <c r="K119" s="93"/>
    </row>
    <row r="120" spans="1:48" ht="16.5" customHeight="1">
      <c r="B120" s="111" t="s">
        <v>1845</v>
      </c>
      <c r="C120" s="112">
        <v>8</v>
      </c>
      <c r="D120" s="93"/>
      <c r="E120" s="93"/>
      <c r="F120" s="93"/>
      <c r="G120" s="170"/>
      <c r="H120" s="93"/>
      <c r="I120" s="93"/>
      <c r="J120" s="93"/>
      <c r="K120" s="93"/>
    </row>
    <row r="121" spans="1:48" ht="16.5" customHeight="1">
      <c r="B121" s="111" t="s">
        <v>1847</v>
      </c>
      <c r="C121" s="112">
        <v>0</v>
      </c>
      <c r="D121" s="93"/>
      <c r="E121" s="93"/>
      <c r="F121" s="93"/>
      <c r="G121" s="93"/>
      <c r="H121" s="93"/>
      <c r="I121" s="93"/>
      <c r="J121" s="93"/>
      <c r="K121" s="93"/>
    </row>
    <row r="122" spans="1:48" ht="16.5" customHeight="1">
      <c r="B122" s="111" t="s">
        <v>1848</v>
      </c>
      <c r="C122" s="112">
        <v>6</v>
      </c>
      <c r="D122" s="93"/>
      <c r="E122" s="93"/>
      <c r="F122" s="93"/>
      <c r="G122" s="93"/>
      <c r="H122" s="93"/>
      <c r="I122" s="93"/>
      <c r="J122" s="93"/>
      <c r="K122" s="93"/>
    </row>
    <row r="123" spans="1:48" ht="16.5" customHeight="1">
      <c r="B123" s="111" t="s">
        <v>1849</v>
      </c>
      <c r="C123" s="112">
        <v>6</v>
      </c>
      <c r="D123" s="93"/>
      <c r="E123" s="93"/>
      <c r="F123" s="93"/>
      <c r="G123" s="93"/>
      <c r="H123" s="93"/>
      <c r="I123" s="93"/>
      <c r="J123" s="93"/>
      <c r="K123" s="93"/>
    </row>
    <row r="124" spans="1:48" ht="16.5" customHeight="1">
      <c r="B124" s="111" t="s">
        <v>1850</v>
      </c>
      <c r="C124" s="112">
        <v>20</v>
      </c>
      <c r="D124" s="93"/>
      <c r="E124" s="93"/>
      <c r="F124" s="93"/>
      <c r="G124" s="93"/>
      <c r="H124" s="93"/>
      <c r="I124" s="93"/>
      <c r="J124" s="93"/>
      <c r="K124" s="93"/>
    </row>
    <row r="125" spans="1:48" ht="16.5" customHeight="1">
      <c r="B125" s="111" t="s">
        <v>1851</v>
      </c>
      <c r="C125" s="112">
        <v>3</v>
      </c>
      <c r="D125" s="93"/>
      <c r="E125" s="93"/>
      <c r="F125" s="93"/>
      <c r="G125" s="161"/>
      <c r="H125" s="93"/>
      <c r="I125" s="93"/>
      <c r="J125" s="93"/>
      <c r="K125" s="93"/>
    </row>
    <row r="126" spans="1:48" ht="16.5" customHeight="1">
      <c r="B126" s="111" t="s">
        <v>1852</v>
      </c>
      <c r="C126" s="112">
        <v>2</v>
      </c>
      <c r="D126" s="93"/>
      <c r="E126" s="93"/>
      <c r="F126" s="93"/>
      <c r="G126" s="93"/>
      <c r="H126" s="93"/>
      <c r="I126" s="93"/>
      <c r="J126" s="93"/>
      <c r="K126" s="93"/>
    </row>
    <row r="127" spans="1:48" ht="16.5" customHeight="1">
      <c r="B127" s="111" t="s">
        <v>1853</v>
      </c>
      <c r="C127" s="112">
        <v>7</v>
      </c>
      <c r="D127" s="93"/>
      <c r="E127" s="93"/>
      <c r="F127" s="93"/>
      <c r="G127" s="93"/>
      <c r="H127" s="93"/>
      <c r="I127" s="93"/>
      <c r="J127" s="93"/>
      <c r="K127" s="93"/>
    </row>
    <row r="128" spans="1:48" ht="16.5" customHeight="1">
      <c r="B128" s="111" t="s">
        <v>1854</v>
      </c>
      <c r="C128" s="112">
        <v>0</v>
      </c>
      <c r="D128" s="93"/>
      <c r="E128" s="93"/>
      <c r="F128" s="93"/>
      <c r="G128" s="93"/>
      <c r="H128" s="93"/>
      <c r="I128" s="93"/>
      <c r="J128" s="93"/>
      <c r="K128" s="93"/>
    </row>
    <row r="129" spans="2:11" ht="16.5" customHeight="1">
      <c r="B129" s="151" t="s">
        <v>1375</v>
      </c>
      <c r="C129" s="107"/>
      <c r="D129" s="93"/>
      <c r="E129" s="93"/>
      <c r="F129" s="93"/>
      <c r="G129" s="93"/>
      <c r="H129" s="93"/>
      <c r="I129" s="93"/>
      <c r="J129" s="93"/>
      <c r="K129" s="93"/>
    </row>
    <row r="130" spans="2:11" ht="16.5" customHeight="1"/>
    <row r="200" spans="1:13" s="88" customFormat="1" ht="26.25" customHeight="1">
      <c r="A200" s="498" t="s">
        <v>417</v>
      </c>
      <c r="B200" s="498"/>
      <c r="C200" s="499"/>
      <c r="D200" s="87"/>
      <c r="E200" s="500" t="str">
        <f>HYPERLINK("#目录!A245","跳转回到目录页")</f>
        <v>跳转回到目录页</v>
      </c>
      <c r="F200" s="501"/>
    </row>
    <row r="201" spans="1:13" s="88" customFormat="1" ht="26.25" customHeight="1">
      <c r="A201" s="502" t="s">
        <v>1216</v>
      </c>
      <c r="B201" s="502"/>
      <c r="C201" s="503" t="s">
        <v>418</v>
      </c>
      <c r="D201" s="503"/>
      <c r="E201" s="503"/>
      <c r="F201" s="503"/>
      <c r="G201" s="503"/>
      <c r="H201" s="503"/>
      <c r="I201" s="503"/>
      <c r="J201" s="503"/>
      <c r="K201" s="503"/>
      <c r="L201" s="503"/>
      <c r="M201" s="503"/>
    </row>
    <row r="202" spans="1:13" s="88" customFormat="1" ht="16.5" customHeight="1">
      <c r="A202" s="496" t="s">
        <v>1217</v>
      </c>
      <c r="B202" s="496"/>
      <c r="C202" s="493" t="s">
        <v>3736</v>
      </c>
      <c r="D202" s="493"/>
      <c r="E202" s="493"/>
      <c r="F202" s="493"/>
      <c r="G202" s="493"/>
      <c r="H202" s="493"/>
      <c r="I202" s="493"/>
      <c r="J202" s="493"/>
      <c r="K202" s="493"/>
      <c r="L202" s="493"/>
      <c r="M202" s="493"/>
    </row>
    <row r="203" spans="1:13" s="88" customFormat="1" ht="16.5" customHeight="1">
      <c r="A203" s="496" t="s">
        <v>5786</v>
      </c>
      <c r="B203" s="496"/>
      <c r="C203" s="497" t="s">
        <v>3737</v>
      </c>
      <c r="D203" s="497"/>
      <c r="E203" s="497"/>
      <c r="F203" s="497"/>
      <c r="G203" s="497"/>
      <c r="H203" s="497"/>
      <c r="I203" s="497"/>
      <c r="J203" s="497"/>
      <c r="K203" s="497"/>
      <c r="L203" s="497"/>
      <c r="M203" s="497"/>
    </row>
    <row r="204" spans="1:13" s="88" customFormat="1" ht="16.5" customHeight="1">
      <c r="A204" s="496" t="s">
        <v>1220</v>
      </c>
      <c r="B204" s="496"/>
      <c r="C204" s="493" t="s">
        <v>3738</v>
      </c>
      <c r="D204" s="493"/>
      <c r="E204" s="493"/>
      <c r="F204" s="493"/>
      <c r="G204" s="493"/>
      <c r="H204" s="493"/>
      <c r="I204" s="493"/>
      <c r="J204" s="493"/>
      <c r="K204" s="493"/>
      <c r="L204" s="493"/>
      <c r="M204" s="493"/>
    </row>
    <row r="205" spans="1:13" s="88" customFormat="1" ht="16.5" customHeight="1">
      <c r="A205" s="496" t="s">
        <v>5785</v>
      </c>
      <c r="B205" s="496"/>
      <c r="C205" s="493" t="s">
        <v>3739</v>
      </c>
      <c r="D205" s="493"/>
      <c r="E205" s="493"/>
      <c r="F205" s="493"/>
      <c r="G205" s="493"/>
      <c r="H205" s="493"/>
      <c r="I205" s="493"/>
      <c r="J205" s="493"/>
      <c r="K205" s="493"/>
      <c r="L205" s="493"/>
      <c r="M205" s="493"/>
    </row>
    <row r="206" spans="1:13" s="88" customFormat="1" ht="16.5" customHeight="1">
      <c r="A206" s="89" t="s">
        <v>1223</v>
      </c>
      <c r="B206" s="92" t="s">
        <v>2200</v>
      </c>
      <c r="C206" s="493" t="s">
        <v>3740</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48" s="88" customFormat="1" ht="16.5" customHeight="1">
      <c r="A209" s="89" t="s">
        <v>1228</v>
      </c>
      <c r="B209" s="493"/>
      <c r="C209" s="493"/>
      <c r="D209" s="493"/>
      <c r="E209" s="493"/>
      <c r="F209" s="493"/>
      <c r="G209" s="493"/>
      <c r="H209" s="493"/>
      <c r="I209" s="493"/>
      <c r="J209" s="493"/>
      <c r="K209" s="493"/>
      <c r="L209" s="493"/>
      <c r="M209" s="493"/>
    </row>
    <row r="210" spans="1:48" ht="49.5" customHeight="1">
      <c r="A210" s="89" t="s">
        <v>1229</v>
      </c>
      <c r="B210" s="493" t="s">
        <v>3741</v>
      </c>
      <c r="C210" s="493"/>
      <c r="D210" s="493"/>
      <c r="E210" s="493"/>
      <c r="F210" s="493"/>
      <c r="G210" s="493"/>
      <c r="H210" s="493"/>
      <c r="I210" s="493"/>
      <c r="J210" s="493"/>
      <c r="K210" s="493"/>
      <c r="L210" s="493"/>
      <c r="M210" s="493"/>
    </row>
    <row r="211" spans="1:48" ht="21" customHeight="1">
      <c r="B211" s="494" t="s">
        <v>2863</v>
      </c>
      <c r="C211" s="494"/>
      <c r="D211" s="494"/>
      <c r="E211" s="494"/>
      <c r="F211" s="494"/>
      <c r="G211" s="494"/>
      <c r="H211" s="494"/>
      <c r="I211" s="494"/>
      <c r="J211" s="494"/>
      <c r="K211" s="494"/>
      <c r="L211" s="495"/>
    </row>
    <row r="212" spans="1:48" s="93" customFormat="1" ht="16.5" customHeight="1"/>
    <row r="213" spans="1:48" s="93" customFormat="1" ht="16.5" customHeight="1">
      <c r="A213" s="94" t="s">
        <v>1232</v>
      </c>
      <c r="B213" s="93" t="s">
        <v>1773</v>
      </c>
    </row>
    <row r="214" spans="1:48" s="93" customFormat="1" ht="16.5" customHeight="1">
      <c r="G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spans="1:48" ht="16.5" customHeight="1"/>
    <row r="216" spans="1:48" ht="16.5" customHeight="1">
      <c r="B216" s="192" t="s">
        <v>3709</v>
      </c>
      <c r="C216" s="192"/>
      <c r="D216" s="93"/>
      <c r="E216" s="93"/>
      <c r="F216" s="93"/>
      <c r="G216" s="189"/>
    </row>
    <row r="217" spans="1:48" ht="16.5" customHeight="1">
      <c r="B217" s="95" t="s">
        <v>1246</v>
      </c>
      <c r="C217" s="97" t="s">
        <v>3710</v>
      </c>
      <c r="D217" s="93"/>
      <c r="E217" s="93"/>
      <c r="F217" s="104" t="s">
        <v>1238</v>
      </c>
      <c r="G217" s="189"/>
    </row>
    <row r="218" spans="1:48" ht="16.5" customHeight="1">
      <c r="B218" s="111" t="s">
        <v>1375</v>
      </c>
      <c r="C218" s="112"/>
      <c r="D218" s="93"/>
      <c r="E218" s="93">
        <f>MIN(C219:C228)</f>
        <v>0</v>
      </c>
      <c r="F218" s="108" t="s">
        <v>3742</v>
      </c>
      <c r="G218" s="189"/>
    </row>
    <row r="219" spans="1:48" ht="16.5" customHeight="1">
      <c r="B219" s="111" t="s">
        <v>1843</v>
      </c>
      <c r="C219" s="112">
        <v>5</v>
      </c>
      <c r="D219" s="93"/>
      <c r="E219" s="93"/>
      <c r="F219" s="93"/>
    </row>
    <row r="220" spans="1:48" ht="16.5" customHeight="1">
      <c r="B220" s="111" t="s">
        <v>1845</v>
      </c>
      <c r="C220" s="112">
        <v>8</v>
      </c>
      <c r="D220" s="93"/>
      <c r="E220" s="93"/>
      <c r="F220" s="93"/>
    </row>
    <row r="221" spans="1:48" ht="16.5" customHeight="1">
      <c r="B221" s="111" t="s">
        <v>1847</v>
      </c>
      <c r="C221" s="112">
        <v>0</v>
      </c>
      <c r="D221" s="93"/>
      <c r="E221" s="93"/>
      <c r="F221" s="93"/>
    </row>
    <row r="222" spans="1:48" ht="16.5" customHeight="1">
      <c r="B222" s="111" t="s">
        <v>1848</v>
      </c>
      <c r="C222" s="112">
        <v>6</v>
      </c>
      <c r="D222" s="93"/>
      <c r="E222" s="93"/>
      <c r="F222" s="93"/>
    </row>
    <row r="223" spans="1:48" ht="16.5" customHeight="1">
      <c r="B223" s="111" t="s">
        <v>1849</v>
      </c>
      <c r="C223" s="112">
        <v>6</v>
      </c>
      <c r="D223" s="93"/>
      <c r="E223" s="93"/>
      <c r="F223" s="93"/>
      <c r="G223" s="189"/>
    </row>
    <row r="224" spans="1:48" ht="16.5" customHeight="1">
      <c r="B224" s="111" t="s">
        <v>1850</v>
      </c>
      <c r="C224" s="112">
        <v>20</v>
      </c>
      <c r="D224" s="93"/>
      <c r="E224" s="93"/>
      <c r="F224" s="93"/>
    </row>
    <row r="225" spans="2:6" ht="16.5" customHeight="1">
      <c r="B225" s="111" t="s">
        <v>1851</v>
      </c>
      <c r="C225" s="112">
        <v>3</v>
      </c>
      <c r="D225" s="93"/>
      <c r="E225" s="93"/>
      <c r="F225" s="93"/>
    </row>
    <row r="226" spans="2:6" ht="16.5" customHeight="1">
      <c r="B226" s="111" t="s">
        <v>1852</v>
      </c>
      <c r="C226" s="112">
        <v>2</v>
      </c>
      <c r="D226" s="93"/>
      <c r="E226" s="93"/>
      <c r="F226" s="93"/>
    </row>
    <row r="227" spans="2:6" ht="16.5" customHeight="1">
      <c r="B227" s="111" t="s">
        <v>1853</v>
      </c>
      <c r="C227" s="112">
        <v>7</v>
      </c>
      <c r="D227" s="93"/>
      <c r="E227" s="93"/>
      <c r="F227" s="93"/>
    </row>
    <row r="228" spans="2:6" ht="16.5" customHeight="1">
      <c r="B228" s="111" t="s">
        <v>1854</v>
      </c>
      <c r="C228" s="112">
        <v>0</v>
      </c>
      <c r="D228" s="93"/>
      <c r="E228" s="93"/>
      <c r="F228" s="93"/>
    </row>
    <row r="229" spans="2:6" ht="16.5" customHeight="1">
      <c r="B229" s="151" t="s">
        <v>1375</v>
      </c>
      <c r="C229" s="107"/>
      <c r="D229" s="93"/>
      <c r="E229" s="93"/>
      <c r="F229" s="93"/>
    </row>
    <row r="230" spans="2:6" ht="16.5" customHeight="1"/>
    <row r="300" spans="1:13" s="88" customFormat="1" ht="26.25" customHeight="1">
      <c r="A300" s="498" t="s">
        <v>419</v>
      </c>
      <c r="B300" s="498"/>
      <c r="C300" s="499"/>
      <c r="D300" s="87"/>
      <c r="E300" s="500" t="str">
        <f>HYPERLINK("#目录!A246","跳转回到目录页")</f>
        <v>跳转回到目录页</v>
      </c>
      <c r="F300" s="501"/>
    </row>
    <row r="301" spans="1:13" s="88" customFormat="1" ht="26.25" customHeight="1">
      <c r="A301" s="502" t="s">
        <v>1216</v>
      </c>
      <c r="B301" s="502"/>
      <c r="C301" s="503" t="s">
        <v>420</v>
      </c>
      <c r="D301" s="503"/>
      <c r="E301" s="503"/>
      <c r="F301" s="503"/>
      <c r="G301" s="503"/>
      <c r="H301" s="503"/>
      <c r="I301" s="503"/>
      <c r="J301" s="503"/>
      <c r="K301" s="503"/>
      <c r="L301" s="503"/>
      <c r="M301" s="503"/>
    </row>
    <row r="302" spans="1:13" s="88" customFormat="1" ht="16.5" customHeight="1">
      <c r="A302" s="496" t="s">
        <v>1217</v>
      </c>
      <c r="B302" s="496"/>
      <c r="C302" s="493" t="s">
        <v>3743</v>
      </c>
      <c r="D302" s="493"/>
      <c r="E302" s="493"/>
      <c r="F302" s="493"/>
      <c r="G302" s="493"/>
      <c r="H302" s="493"/>
      <c r="I302" s="493"/>
      <c r="J302" s="493"/>
      <c r="K302" s="493"/>
      <c r="L302" s="493"/>
      <c r="M302" s="493"/>
    </row>
    <row r="303" spans="1:13" s="88" customFormat="1" ht="16.5" customHeight="1">
      <c r="A303" s="496" t="s">
        <v>5786</v>
      </c>
      <c r="B303" s="496"/>
      <c r="C303" s="497" t="s">
        <v>3744</v>
      </c>
      <c r="D303" s="497"/>
      <c r="E303" s="497"/>
      <c r="F303" s="497"/>
      <c r="G303" s="497"/>
      <c r="H303" s="497"/>
      <c r="I303" s="497"/>
      <c r="J303" s="497"/>
      <c r="K303" s="497"/>
      <c r="L303" s="497"/>
      <c r="M303" s="497"/>
    </row>
    <row r="304" spans="1:13" s="88" customFormat="1" ht="16.5" customHeight="1">
      <c r="A304" s="496" t="s">
        <v>1220</v>
      </c>
      <c r="B304" s="496"/>
      <c r="C304" s="493" t="s">
        <v>3745</v>
      </c>
      <c r="D304" s="493"/>
      <c r="E304" s="493"/>
      <c r="F304" s="493"/>
      <c r="G304" s="493"/>
      <c r="H304" s="493"/>
      <c r="I304" s="493"/>
      <c r="J304" s="493"/>
      <c r="K304" s="493"/>
      <c r="L304" s="493"/>
      <c r="M304" s="493"/>
    </row>
    <row r="305" spans="1:48" s="88" customFormat="1" ht="16.5" customHeight="1">
      <c r="A305" s="496" t="s">
        <v>5785</v>
      </c>
      <c r="B305" s="496"/>
      <c r="C305" s="493" t="s">
        <v>3746</v>
      </c>
      <c r="D305" s="493"/>
      <c r="E305" s="493"/>
      <c r="F305" s="493"/>
      <c r="G305" s="493"/>
      <c r="H305" s="493"/>
      <c r="I305" s="493"/>
      <c r="J305" s="493"/>
      <c r="K305" s="493"/>
      <c r="L305" s="493"/>
      <c r="M305" s="493"/>
    </row>
    <row r="306" spans="1:48" s="88" customFormat="1" ht="16.5" customHeight="1">
      <c r="A306" s="89" t="s">
        <v>1223</v>
      </c>
      <c r="B306" s="92" t="s">
        <v>3299</v>
      </c>
      <c r="C306" s="493" t="s">
        <v>3747</v>
      </c>
      <c r="D306" s="493"/>
      <c r="E306" s="493"/>
      <c r="F306" s="493"/>
      <c r="G306" s="493"/>
      <c r="H306" s="493"/>
      <c r="I306" s="493"/>
      <c r="J306" s="493"/>
      <c r="K306" s="493"/>
      <c r="L306" s="493"/>
      <c r="M306" s="493"/>
    </row>
    <row r="307" spans="1:48" s="88" customFormat="1" ht="16.5" customHeight="1">
      <c r="A307" s="89"/>
      <c r="B307" s="92"/>
      <c r="C307" s="493"/>
      <c r="D307" s="493"/>
      <c r="E307" s="493"/>
      <c r="F307" s="493"/>
      <c r="G307" s="493"/>
      <c r="H307" s="493"/>
      <c r="I307" s="493"/>
      <c r="J307" s="493"/>
      <c r="K307" s="493"/>
      <c r="L307" s="493"/>
      <c r="M307" s="493"/>
    </row>
    <row r="308" spans="1:48" s="88" customFormat="1" ht="16.5" customHeight="1">
      <c r="A308" s="89"/>
      <c r="B308" s="90"/>
      <c r="C308" s="493"/>
      <c r="D308" s="493"/>
      <c r="E308" s="493"/>
      <c r="F308" s="493"/>
      <c r="G308" s="493"/>
      <c r="H308" s="493"/>
      <c r="I308" s="493"/>
      <c r="J308" s="493"/>
      <c r="K308" s="493"/>
      <c r="L308" s="493"/>
      <c r="M308" s="493"/>
    </row>
    <row r="309" spans="1:48" s="88" customFormat="1" ht="16.5" customHeight="1">
      <c r="A309" s="89" t="s">
        <v>1228</v>
      </c>
      <c r="B309" s="493"/>
      <c r="C309" s="493"/>
      <c r="D309" s="493"/>
      <c r="E309" s="493"/>
      <c r="F309" s="493"/>
      <c r="G309" s="493"/>
      <c r="H309" s="493"/>
      <c r="I309" s="493"/>
      <c r="J309" s="493"/>
      <c r="K309" s="493"/>
      <c r="L309" s="493"/>
      <c r="M309" s="493"/>
    </row>
    <row r="310" spans="1:48" ht="63" customHeight="1">
      <c r="A310" s="89" t="s">
        <v>1229</v>
      </c>
      <c r="B310" s="493" t="s">
        <v>3748</v>
      </c>
      <c r="C310" s="493"/>
      <c r="D310" s="493"/>
      <c r="E310" s="493"/>
      <c r="F310" s="493"/>
      <c r="G310" s="493"/>
      <c r="H310" s="493"/>
      <c r="I310" s="493"/>
      <c r="J310" s="493"/>
      <c r="K310" s="493"/>
      <c r="L310" s="493"/>
      <c r="M310" s="493"/>
    </row>
    <row r="311" spans="1:48" ht="21" customHeight="1">
      <c r="B311" s="494" t="s">
        <v>2863</v>
      </c>
      <c r="C311" s="494"/>
      <c r="D311" s="494"/>
      <c r="E311" s="494"/>
      <c r="F311" s="494"/>
      <c r="G311" s="494"/>
      <c r="H311" s="494"/>
      <c r="I311" s="494"/>
      <c r="J311" s="494"/>
      <c r="K311" s="494"/>
      <c r="L311" s="495"/>
    </row>
    <row r="312" spans="1:48" s="93" customFormat="1" ht="16.5" customHeight="1"/>
    <row r="313" spans="1:48" s="93" customFormat="1" ht="16.5" customHeight="1">
      <c r="A313" s="94" t="s">
        <v>1232</v>
      </c>
      <c r="B313" s="93" t="s">
        <v>1773</v>
      </c>
    </row>
    <row r="314" spans="1:48" s="93" customFormat="1" ht="16.5" customHeight="1">
      <c r="G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row>
    <row r="315" spans="1:48" ht="16.5" customHeight="1"/>
    <row r="316" spans="1:48" ht="16.5" customHeight="1">
      <c r="B316" s="192" t="s">
        <v>3709</v>
      </c>
      <c r="C316" s="192"/>
      <c r="D316" s="93"/>
      <c r="E316" s="93"/>
      <c r="F316" s="93"/>
      <c r="G316" s="189"/>
    </row>
    <row r="317" spans="1:48" ht="16.5" customHeight="1">
      <c r="B317" s="95" t="s">
        <v>1246</v>
      </c>
      <c r="C317" s="97" t="s">
        <v>3710</v>
      </c>
      <c r="D317" s="93"/>
      <c r="E317" s="93"/>
      <c r="F317" s="104" t="s">
        <v>1238</v>
      </c>
      <c r="G317" s="189"/>
    </row>
    <row r="318" spans="1:48" ht="16.5" customHeight="1">
      <c r="B318" s="111" t="s">
        <v>1375</v>
      </c>
      <c r="C318" s="112"/>
      <c r="D318" s="93"/>
      <c r="E318" s="93">
        <f>MINA(C319:C328)</f>
        <v>0</v>
      </c>
      <c r="F318" s="108" t="s">
        <v>3749</v>
      </c>
      <c r="G318" s="189"/>
    </row>
    <row r="319" spans="1:48" ht="16.5" customHeight="1">
      <c r="B319" s="111" t="s">
        <v>1843</v>
      </c>
      <c r="C319" s="112">
        <v>5</v>
      </c>
      <c r="D319" s="93"/>
      <c r="E319" s="93"/>
      <c r="F319" s="93"/>
      <c r="G319" s="189"/>
    </row>
    <row r="320" spans="1:48" ht="16.5" customHeight="1">
      <c r="B320" s="111" t="s">
        <v>1845</v>
      </c>
      <c r="C320" s="112">
        <v>8</v>
      </c>
      <c r="D320" s="93"/>
      <c r="E320" s="93"/>
      <c r="F320" s="93"/>
    </row>
    <row r="321" spans="2:7" ht="16.5" customHeight="1">
      <c r="B321" s="111" t="s">
        <v>1847</v>
      </c>
      <c r="C321" s="112">
        <v>0</v>
      </c>
      <c r="D321" s="93"/>
      <c r="E321" s="93"/>
      <c r="F321" s="93"/>
    </row>
    <row r="322" spans="2:7" ht="16.5" customHeight="1">
      <c r="B322" s="111" t="s">
        <v>1848</v>
      </c>
      <c r="C322" s="112">
        <v>6</v>
      </c>
      <c r="D322" s="93"/>
      <c r="E322" s="93"/>
      <c r="F322" s="93"/>
    </row>
    <row r="323" spans="2:7" ht="16.5" customHeight="1">
      <c r="B323" s="111" t="s">
        <v>1849</v>
      </c>
      <c r="C323" s="112">
        <v>6</v>
      </c>
      <c r="D323" s="93"/>
      <c r="E323" s="93"/>
      <c r="F323" s="93"/>
      <c r="G323" s="189"/>
    </row>
    <row r="324" spans="2:7" ht="16.5" customHeight="1">
      <c r="B324" s="111" t="s">
        <v>1850</v>
      </c>
      <c r="C324" s="112">
        <v>20</v>
      </c>
      <c r="D324" s="93"/>
      <c r="E324" s="93"/>
      <c r="F324" s="93"/>
    </row>
    <row r="325" spans="2:7" ht="16.5" customHeight="1">
      <c r="B325" s="111" t="s">
        <v>1851</v>
      </c>
      <c r="C325" s="112">
        <v>3</v>
      </c>
      <c r="D325" s="93"/>
      <c r="E325" s="93"/>
      <c r="F325" s="93"/>
    </row>
    <row r="326" spans="2:7" ht="16.5" customHeight="1">
      <c r="B326" s="111" t="s">
        <v>1852</v>
      </c>
      <c r="C326" s="112">
        <v>2</v>
      </c>
      <c r="D326" s="93"/>
      <c r="E326" s="93"/>
      <c r="F326" s="93"/>
    </row>
    <row r="327" spans="2:7" ht="16.5" customHeight="1">
      <c r="B327" s="111" t="s">
        <v>1853</v>
      </c>
      <c r="C327" s="112">
        <v>7</v>
      </c>
      <c r="D327" s="93"/>
      <c r="E327" s="93"/>
      <c r="F327" s="93"/>
    </row>
    <row r="328" spans="2:7" ht="16.5" customHeight="1">
      <c r="B328" s="111" t="s">
        <v>1854</v>
      </c>
      <c r="C328" s="112">
        <v>0</v>
      </c>
      <c r="D328" s="93"/>
      <c r="E328" s="93"/>
      <c r="F328" s="93"/>
    </row>
    <row r="329" spans="2:7" ht="16.5" customHeight="1">
      <c r="B329" s="151" t="s">
        <v>1375</v>
      </c>
      <c r="C329" s="107"/>
      <c r="D329" s="93"/>
      <c r="E329" s="93"/>
      <c r="F329" s="93"/>
    </row>
    <row r="330" spans="2:7" ht="16.5" customHeight="1"/>
  </sheetData>
  <mergeCells count="7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 ref="A300:C300"/>
    <mergeCell ref="E300:F300"/>
    <mergeCell ref="A301:B301"/>
    <mergeCell ref="C301:M301"/>
    <mergeCell ref="A302:B302"/>
    <mergeCell ref="C302:M302"/>
    <mergeCell ref="B311:L311"/>
    <mergeCell ref="A303:B303"/>
    <mergeCell ref="C303:M303"/>
    <mergeCell ref="A304:B304"/>
    <mergeCell ref="C304:M304"/>
    <mergeCell ref="A305:B305"/>
    <mergeCell ref="C305:M305"/>
    <mergeCell ref="C306:M306"/>
    <mergeCell ref="C307:M307"/>
    <mergeCell ref="C308:M308"/>
    <mergeCell ref="B309:M309"/>
    <mergeCell ref="B310:M310"/>
  </mergeCells>
  <phoneticPr fontId="2" type="noConversion"/>
  <pageMargins left="0.75" right="0.75" top="1" bottom="1" header="0.5" footer="0.5"/>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M114"/>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69</v>
      </c>
      <c r="B1" s="498"/>
      <c r="C1" s="499"/>
      <c r="D1" s="87"/>
      <c r="E1" s="500" t="str">
        <f>HYPERLINK("#目录!A42","跳转回到目录页")</f>
        <v>跳转回到目录页</v>
      </c>
      <c r="F1" s="501"/>
    </row>
    <row r="2" spans="1:13" s="88" customFormat="1" ht="26.25" customHeight="1">
      <c r="A2" s="502" t="s">
        <v>1216</v>
      </c>
      <c r="B2" s="502"/>
      <c r="C2" s="503" t="s">
        <v>70</v>
      </c>
      <c r="D2" s="503"/>
      <c r="E2" s="503"/>
      <c r="F2" s="503"/>
      <c r="G2" s="503"/>
      <c r="H2" s="503"/>
      <c r="I2" s="503"/>
      <c r="J2" s="503"/>
      <c r="K2" s="503"/>
      <c r="L2" s="503"/>
      <c r="M2" s="503"/>
    </row>
    <row r="3" spans="1:13" s="88" customFormat="1" ht="16.5" customHeight="1">
      <c r="A3" s="496" t="s">
        <v>1217</v>
      </c>
      <c r="B3" s="496"/>
      <c r="C3" s="493" t="s">
        <v>1486</v>
      </c>
      <c r="D3" s="493"/>
      <c r="E3" s="493"/>
      <c r="F3" s="493"/>
      <c r="G3" s="493"/>
      <c r="H3" s="493"/>
      <c r="I3" s="493"/>
      <c r="J3" s="493"/>
      <c r="K3" s="493"/>
      <c r="L3" s="493"/>
      <c r="M3" s="493"/>
    </row>
    <row r="4" spans="1:13" s="88" customFormat="1" ht="16.5" customHeight="1">
      <c r="A4" s="496" t="s">
        <v>5786</v>
      </c>
      <c r="B4" s="496"/>
      <c r="C4" s="493" t="s">
        <v>1487</v>
      </c>
      <c r="D4" s="493"/>
      <c r="E4" s="493"/>
      <c r="F4" s="493"/>
      <c r="G4" s="493"/>
      <c r="H4" s="493"/>
      <c r="I4" s="493"/>
      <c r="J4" s="493"/>
      <c r="K4" s="493"/>
      <c r="L4" s="493"/>
      <c r="M4" s="493"/>
    </row>
    <row r="5" spans="1:13" s="88" customFormat="1" ht="16.5" customHeight="1">
      <c r="A5" s="496" t="s">
        <v>1220</v>
      </c>
      <c r="B5" s="496"/>
      <c r="C5" s="493" t="s">
        <v>1488</v>
      </c>
      <c r="D5" s="493"/>
      <c r="E5" s="493"/>
      <c r="F5" s="493"/>
      <c r="G5" s="493"/>
      <c r="H5" s="493"/>
      <c r="I5" s="493"/>
      <c r="J5" s="493"/>
      <c r="K5" s="493"/>
      <c r="L5" s="493"/>
      <c r="M5" s="493"/>
    </row>
    <row r="6" spans="1:13" s="88" customFormat="1" ht="16.5" customHeight="1">
      <c r="A6" s="496" t="s">
        <v>5785</v>
      </c>
      <c r="B6" s="496"/>
      <c r="C6" s="493" t="s">
        <v>1488</v>
      </c>
      <c r="D6" s="493"/>
      <c r="E6" s="493"/>
      <c r="F6" s="493"/>
      <c r="G6" s="493"/>
      <c r="H6" s="493"/>
      <c r="I6" s="493"/>
      <c r="J6" s="493"/>
      <c r="K6" s="493"/>
      <c r="L6" s="493"/>
      <c r="M6" s="493"/>
    </row>
    <row r="7" spans="1:13" s="88" customFormat="1" ht="16.5" customHeight="1">
      <c r="A7" s="89" t="s">
        <v>1223</v>
      </c>
      <c r="B7" s="92"/>
      <c r="C7" s="493" t="s">
        <v>1489</v>
      </c>
      <c r="D7" s="493"/>
      <c r="E7" s="493"/>
      <c r="F7" s="493"/>
      <c r="G7" s="493"/>
      <c r="H7" s="493"/>
      <c r="I7" s="493"/>
      <c r="J7" s="493"/>
      <c r="K7" s="493"/>
      <c r="L7" s="493"/>
      <c r="M7" s="493"/>
    </row>
    <row r="8" spans="1:13" s="88" customFormat="1" ht="24.75" customHeight="1">
      <c r="A8" s="89" t="s">
        <v>1228</v>
      </c>
      <c r="B8" s="493" t="s">
        <v>1490</v>
      </c>
      <c r="C8" s="493"/>
      <c r="D8" s="493"/>
      <c r="E8" s="493"/>
      <c r="F8" s="493"/>
      <c r="G8" s="493"/>
      <c r="H8" s="493"/>
      <c r="I8" s="493"/>
      <c r="J8" s="493"/>
      <c r="K8" s="493"/>
      <c r="L8" s="493"/>
      <c r="M8" s="493"/>
    </row>
    <row r="9" spans="1:13" ht="16.5" customHeight="1">
      <c r="A9" s="89" t="s">
        <v>1229</v>
      </c>
      <c r="B9" s="493"/>
      <c r="C9" s="493"/>
      <c r="D9" s="493"/>
      <c r="E9" s="493"/>
      <c r="F9" s="493"/>
      <c r="G9" s="493"/>
      <c r="H9" s="493"/>
      <c r="I9" s="493"/>
      <c r="J9" s="493"/>
      <c r="K9" s="493"/>
      <c r="L9" s="493"/>
      <c r="M9" s="493"/>
    </row>
    <row r="10" spans="1:13" ht="21" customHeight="1">
      <c r="B10" s="494" t="s">
        <v>1231</v>
      </c>
      <c r="C10" s="494"/>
      <c r="D10" s="494"/>
      <c r="E10" s="494"/>
      <c r="F10" s="494"/>
      <c r="G10" s="494"/>
      <c r="H10" s="494"/>
      <c r="I10" s="494"/>
      <c r="J10" s="494"/>
      <c r="K10" s="494"/>
      <c r="L10" s="495"/>
    </row>
    <row r="11" spans="1:13" s="93" customFormat="1" ht="16.5" customHeight="1"/>
    <row r="12" spans="1:13" s="93" customFormat="1" ht="16.5" customHeight="1"/>
    <row r="13" spans="1:13" s="93" customFormat="1" ht="16.5" customHeight="1">
      <c r="A13" s="94" t="s">
        <v>1232</v>
      </c>
      <c r="B13" s="93" t="s">
        <v>1491</v>
      </c>
    </row>
    <row r="14" spans="1:13" s="93" customFormat="1" ht="38.25" customHeight="1">
      <c r="B14" s="493" t="s">
        <v>1492</v>
      </c>
      <c r="C14" s="493"/>
      <c r="D14" s="493"/>
      <c r="E14" s="493"/>
      <c r="F14" s="493"/>
      <c r="G14" s="493"/>
      <c r="H14" s="493"/>
      <c r="I14" s="493"/>
      <c r="J14" s="493"/>
      <c r="K14" s="493"/>
      <c r="L14" s="493"/>
      <c r="M14" s="493"/>
    </row>
    <row r="15" spans="1:13" s="93" customFormat="1" ht="16.5" customHeight="1">
      <c r="B15" s="148"/>
    </row>
    <row r="16" spans="1:13" s="93" customFormat="1" ht="16.5" customHeight="1"/>
    <row r="17" spans="1:7" s="93" customFormat="1" ht="16.5" customHeight="1"/>
    <row r="18" spans="1:7" s="93" customFormat="1" ht="16.5" customHeight="1">
      <c r="A18" s="94" t="s">
        <v>1244</v>
      </c>
    </row>
    <row r="19" spans="1:7" s="93" customFormat="1" ht="16.5" customHeight="1">
      <c r="C19" s="104" t="s">
        <v>1238</v>
      </c>
    </row>
    <row r="20" spans="1:7" s="93" customFormat="1" ht="16.5" customHeight="1">
      <c r="B20" s="323">
        <f ca="1">TODAY()</f>
        <v>44973</v>
      </c>
      <c r="C20" s="108" t="s">
        <v>1260</v>
      </c>
      <c r="D20" s="94"/>
      <c r="F20" s="94"/>
    </row>
    <row r="21" spans="1:7" s="93" customFormat="1" ht="16.5" customHeight="1">
      <c r="B21" s="94" t="str">
        <f ca="1">TEXT(TODAY(),"yyyy-mm-dd")</f>
        <v>2023-02-16</v>
      </c>
      <c r="C21" s="108" t="s">
        <v>1493</v>
      </c>
      <c r="E21" s="148"/>
    </row>
    <row r="22" spans="1:7" s="93" customFormat="1" ht="16.5" customHeight="1">
      <c r="B22" s="94" t="str">
        <f ca="1">TEXT(TODAY(),"yy-mm-dd")</f>
        <v>23-02-16</v>
      </c>
      <c r="C22" s="108" t="s">
        <v>1494</v>
      </c>
      <c r="E22" s="323"/>
      <c r="F22" s="288"/>
    </row>
    <row r="23" spans="1:7" s="93" customFormat="1" ht="16.5" customHeight="1">
      <c r="B23" s="93" t="s">
        <v>1495</v>
      </c>
      <c r="C23" s="148"/>
      <c r="E23" s="148"/>
    </row>
    <row r="24" spans="1:7" s="93" customFormat="1" ht="16.5" customHeight="1"/>
    <row r="25" spans="1:7" s="93" customFormat="1" ht="16.5" customHeight="1"/>
    <row r="26" spans="1:7" s="93" customFormat="1" ht="16.5" customHeight="1">
      <c r="A26" s="94" t="s">
        <v>1255</v>
      </c>
      <c r="B26" s="93" t="s">
        <v>1496</v>
      </c>
    </row>
    <row r="27" spans="1:7" s="93" customFormat="1" ht="16.5" customHeight="1">
      <c r="A27" s="94"/>
    </row>
    <row r="28" spans="1:7" s="93" customFormat="1" ht="16.5" customHeight="1">
      <c r="B28" s="482" t="s">
        <v>1497</v>
      </c>
      <c r="C28" s="504"/>
      <c r="D28" s="504" t="s">
        <v>1498</v>
      </c>
      <c r="E28" s="504"/>
      <c r="F28" s="504" t="s">
        <v>5963</v>
      </c>
      <c r="G28" s="505"/>
    </row>
    <row r="29" spans="1:7" s="93" customFormat="1" ht="16.5" customHeight="1">
      <c r="B29" s="521">
        <v>40852</v>
      </c>
      <c r="C29" s="522"/>
      <c r="D29" s="523">
        <v>40893</v>
      </c>
      <c r="E29" s="523"/>
      <c r="F29" s="524">
        <f>D29-B29</f>
        <v>41</v>
      </c>
      <c r="G29" s="525"/>
    </row>
    <row r="30" spans="1:7" s="93" customFormat="1" ht="16.5" customHeight="1">
      <c r="B30" s="93" t="s">
        <v>1499</v>
      </c>
      <c r="C30" s="148"/>
      <c r="E30" s="148"/>
    </row>
    <row r="31" spans="1:7" s="93" customFormat="1" ht="14.25" customHeight="1">
      <c r="C31" s="148"/>
      <c r="E31" s="148"/>
    </row>
    <row r="32" spans="1:7" s="93" customFormat="1" ht="14.25" customHeight="1">
      <c r="C32" s="148"/>
      <c r="E32" s="148"/>
    </row>
    <row r="33" spans="3:5" s="93" customFormat="1" ht="14.25" customHeight="1">
      <c r="C33" s="148"/>
      <c r="E33" s="148"/>
    </row>
    <row r="34" spans="3:5" s="93" customFormat="1" ht="14.25" customHeight="1">
      <c r="C34" s="148"/>
      <c r="E34" s="148"/>
    </row>
    <row r="35" spans="3:5" s="93" customFormat="1" ht="14.25" customHeight="1">
      <c r="C35" s="148"/>
      <c r="E35" s="148"/>
    </row>
    <row r="36" spans="3:5" s="93" customFormat="1" ht="14.25" customHeight="1">
      <c r="C36" s="148"/>
      <c r="E36" s="148"/>
    </row>
    <row r="37" spans="3:5" s="93" customFormat="1" ht="14.25" customHeight="1">
      <c r="C37" s="148"/>
      <c r="E37" s="148"/>
    </row>
    <row r="38" spans="3:5" s="93" customFormat="1" ht="14.25" customHeight="1">
      <c r="C38" s="148"/>
      <c r="E38" s="148"/>
    </row>
    <row r="39" spans="3:5" s="93" customFormat="1" ht="14.25" customHeight="1">
      <c r="C39" s="148"/>
      <c r="E39" s="148"/>
    </row>
    <row r="40" spans="3:5" s="93" customFormat="1" ht="14.25" customHeight="1">
      <c r="C40" s="148"/>
      <c r="E40" s="148"/>
    </row>
    <row r="41" spans="3:5" s="93" customFormat="1" ht="14.25" customHeight="1">
      <c r="C41" s="148"/>
      <c r="E41" s="148"/>
    </row>
    <row r="42" spans="3:5" s="93" customFormat="1" ht="14.25" customHeight="1">
      <c r="C42" s="148"/>
      <c r="E42" s="148"/>
    </row>
    <row r="43" spans="3:5" s="93" customFormat="1" ht="14.25" customHeight="1">
      <c r="C43" s="148"/>
      <c r="E43" s="148"/>
    </row>
    <row r="44" spans="3:5" s="93" customFormat="1" ht="14.25" customHeight="1">
      <c r="C44" s="148"/>
      <c r="E44" s="148"/>
    </row>
    <row r="45" spans="3:5" s="93" customFormat="1" ht="14.25" customHeight="1">
      <c r="C45" s="148"/>
      <c r="E45" s="148"/>
    </row>
    <row r="46" spans="3:5" s="93" customFormat="1" ht="14.25" customHeight="1">
      <c r="C46" s="148"/>
      <c r="E46" s="148"/>
    </row>
    <row r="47" spans="3:5" s="93" customFormat="1" ht="14.25" customHeight="1">
      <c r="C47" s="148"/>
      <c r="E47" s="148"/>
    </row>
    <row r="48" spans="3:5" s="93" customFormat="1" ht="14.25" customHeight="1">
      <c r="C48" s="148"/>
      <c r="E48" s="148"/>
    </row>
    <row r="49" spans="3:5" s="93" customFormat="1" ht="14.25" customHeight="1">
      <c r="C49" s="148"/>
      <c r="E49" s="148"/>
    </row>
    <row r="50" spans="3:5" s="93" customFormat="1" ht="14.25" customHeight="1">
      <c r="C50" s="148"/>
      <c r="E50" s="148"/>
    </row>
    <row r="51" spans="3:5" s="93" customFormat="1" ht="14.25" customHeight="1">
      <c r="C51" s="148"/>
      <c r="E51" s="148"/>
    </row>
    <row r="52" spans="3:5" s="93" customFormat="1" ht="14.25" customHeight="1"/>
    <row r="53" spans="3:5" s="93" customFormat="1" ht="14.25" customHeight="1"/>
    <row r="54" spans="3:5" s="93" customFormat="1" ht="14.25" customHeight="1"/>
    <row r="55" spans="3:5" s="93" customFormat="1" ht="14.25" customHeight="1"/>
    <row r="56" spans="3:5" s="93" customFormat="1" ht="14.25" customHeight="1"/>
    <row r="57" spans="3:5" s="93" customFormat="1" ht="14.25" customHeight="1"/>
    <row r="58" spans="3:5" s="93" customFormat="1" ht="14.25" customHeight="1"/>
    <row r="59" spans="3:5" s="93" customFormat="1" ht="14.25" customHeight="1"/>
    <row r="60" spans="3:5" s="93" customFormat="1" ht="14.25" customHeight="1"/>
    <row r="61" spans="3:5" s="93" customFormat="1" ht="14.25" customHeight="1"/>
    <row r="62" spans="3:5" s="93" customFormat="1" ht="14.25" customHeight="1"/>
    <row r="63" spans="3:5" s="93" customFormat="1" ht="14.25" customHeight="1"/>
    <row r="64" spans="3:5" s="93" customFormat="1" ht="14.25" customHeight="1"/>
    <row r="65" spans="1:1" s="93" customFormat="1" ht="14.25" customHeight="1"/>
    <row r="66" spans="1:1" s="93" customFormat="1" ht="14.25" customHeight="1"/>
    <row r="67" spans="1:1" s="93" customFormat="1" ht="14.25" customHeight="1"/>
    <row r="68" spans="1:1" s="93" customFormat="1" ht="14.25" customHeight="1"/>
    <row r="69" spans="1:1" s="93" customFormat="1" ht="14.25" customHeight="1"/>
    <row r="70" spans="1:1" s="93" customFormat="1" ht="14.25" customHeight="1"/>
    <row r="71" spans="1:1" s="93" customFormat="1" ht="14.25" customHeight="1"/>
    <row r="72" spans="1:1" s="93" customFormat="1" ht="14.25" customHeight="1"/>
    <row r="73" spans="1:1" s="93" customFormat="1" ht="14.25" customHeight="1"/>
    <row r="74" spans="1:1" s="93" customFormat="1" ht="14.25" customHeight="1"/>
    <row r="75" spans="1:1" s="93" customFormat="1" ht="14.25" customHeight="1"/>
    <row r="76" spans="1:1" s="93" customFormat="1" ht="14.25" customHeight="1"/>
    <row r="77" spans="1:1" s="93" customFormat="1" ht="14.25" customHeight="1"/>
    <row r="78" spans="1:1" s="93" customFormat="1" ht="14.25" customHeight="1"/>
    <row r="79" spans="1:1" s="93" customFormat="1" ht="14.25" customHeight="1"/>
    <row r="80" spans="1:1" s="93" customFormat="1" ht="14.25" customHeight="1">
      <c r="A80" s="94"/>
    </row>
    <row r="81" spans="2:8" s="93" customFormat="1" ht="14.25" customHeight="1"/>
    <row r="82" spans="2:8" s="93" customFormat="1" ht="14.25" customHeight="1"/>
    <row r="83" spans="2:8" s="93" customFormat="1" ht="14.25" customHeight="1"/>
    <row r="84" spans="2:8" s="93" customFormat="1" ht="14.25" customHeight="1"/>
    <row r="85" spans="2:8" s="93" customFormat="1" ht="14.25" customHeight="1"/>
    <row r="86" spans="2:8" s="93" customFormat="1" ht="14.25" customHeight="1"/>
    <row r="87" spans="2:8" s="93" customFormat="1" ht="14.25" customHeight="1"/>
    <row r="88" spans="2:8" s="93" customFormat="1" ht="14.25" customHeight="1"/>
    <row r="89" spans="2:8" s="93" customFormat="1" ht="14.25" customHeight="1">
      <c r="B89" s="94"/>
      <c r="C89" s="311"/>
      <c r="D89" s="311"/>
      <c r="E89" s="311"/>
      <c r="F89" s="94"/>
    </row>
    <row r="90" spans="2:8" s="93" customFormat="1" ht="14.25" customHeight="1">
      <c r="C90" s="312"/>
      <c r="E90" s="312"/>
      <c r="F90" s="94"/>
      <c r="H90" s="319"/>
    </row>
    <row r="91" spans="2:8" s="93" customFormat="1" ht="14.25" customHeight="1">
      <c r="C91" s="312"/>
      <c r="E91" s="312"/>
      <c r="F91" s="94"/>
    </row>
    <row r="92" spans="2:8" s="93" customFormat="1" ht="14.25" customHeight="1">
      <c r="C92" s="312"/>
      <c r="E92" s="312"/>
      <c r="F92" s="94"/>
    </row>
    <row r="93" spans="2:8" s="93" customFormat="1" ht="14.25" customHeight="1"/>
    <row r="94" spans="2:8" s="93" customFormat="1" ht="14.25" customHeight="1">
      <c r="C94" s="312"/>
    </row>
    <row r="95" spans="2:8" s="93" customFormat="1" ht="14.25" customHeight="1"/>
    <row r="96" spans="2:8" s="93" customFormat="1" ht="14.25" customHeight="1"/>
    <row r="97" spans="1:13" s="93" customFormat="1" ht="14.25" customHeight="1"/>
    <row r="98" spans="1:13" s="93" customFormat="1" ht="14.25" customHeight="1">
      <c r="B98" s="94"/>
    </row>
    <row r="99" spans="1:13" s="93" customFormat="1" ht="14.25" customHeight="1">
      <c r="B99" s="94"/>
    </row>
    <row r="100" spans="1:13" s="88" customFormat="1" ht="26.25" customHeight="1">
      <c r="A100" s="498" t="s">
        <v>71</v>
      </c>
      <c r="B100" s="498"/>
      <c r="C100" s="499"/>
      <c r="D100" s="87"/>
      <c r="E100" s="500" t="str">
        <f>HYPERLINK("#目录!A43","跳转回到目录页")</f>
        <v>跳转回到目录页</v>
      </c>
      <c r="F100" s="501"/>
    </row>
    <row r="101" spans="1:13" s="88" customFormat="1" ht="26.25" customHeight="1">
      <c r="A101" s="502" t="s">
        <v>1216</v>
      </c>
      <c r="B101" s="502"/>
      <c r="C101" s="503" t="s">
        <v>72</v>
      </c>
      <c r="D101" s="503"/>
      <c r="E101" s="503"/>
      <c r="F101" s="503"/>
      <c r="G101" s="503"/>
      <c r="H101" s="503"/>
      <c r="I101" s="503"/>
      <c r="J101" s="503"/>
      <c r="K101" s="503"/>
      <c r="L101" s="503"/>
      <c r="M101" s="503"/>
    </row>
    <row r="102" spans="1:13" s="88" customFormat="1" ht="16.5" customHeight="1">
      <c r="A102" s="496" t="s">
        <v>1217</v>
      </c>
      <c r="B102" s="496"/>
      <c r="C102" s="493" t="s">
        <v>1500</v>
      </c>
      <c r="D102" s="493"/>
      <c r="E102" s="493"/>
      <c r="F102" s="493"/>
      <c r="G102" s="493"/>
      <c r="H102" s="493"/>
      <c r="I102" s="493"/>
      <c r="J102" s="493"/>
      <c r="K102" s="493"/>
      <c r="L102" s="493"/>
      <c r="M102" s="493"/>
    </row>
    <row r="103" spans="1:13" s="88" customFormat="1" ht="16.5" customHeight="1">
      <c r="A103" s="496" t="s">
        <v>5786</v>
      </c>
      <c r="B103" s="496"/>
      <c r="C103" s="493" t="s">
        <v>1501</v>
      </c>
      <c r="D103" s="493"/>
      <c r="E103" s="493"/>
      <c r="F103" s="493"/>
      <c r="G103" s="493"/>
      <c r="H103" s="493"/>
      <c r="I103" s="493"/>
      <c r="J103" s="493"/>
      <c r="K103" s="493"/>
      <c r="L103" s="493"/>
      <c r="M103" s="493"/>
    </row>
    <row r="104" spans="1:13" s="88" customFormat="1" ht="16.5" customHeight="1">
      <c r="A104" s="496" t="s">
        <v>1220</v>
      </c>
      <c r="B104" s="496"/>
      <c r="C104" s="493" t="s">
        <v>1502</v>
      </c>
      <c r="D104" s="493"/>
      <c r="E104" s="493"/>
      <c r="F104" s="493"/>
      <c r="G104" s="493"/>
      <c r="H104" s="493"/>
      <c r="I104" s="493"/>
      <c r="J104" s="493"/>
      <c r="K104" s="493"/>
      <c r="L104" s="493"/>
      <c r="M104" s="493"/>
    </row>
    <row r="105" spans="1:13" s="88" customFormat="1" ht="16.5" customHeight="1">
      <c r="A105" s="496" t="s">
        <v>5785</v>
      </c>
      <c r="B105" s="496"/>
      <c r="C105" s="493" t="s">
        <v>1502</v>
      </c>
      <c r="D105" s="493"/>
      <c r="E105" s="493"/>
      <c r="F105" s="493"/>
      <c r="G105" s="493"/>
      <c r="H105" s="493"/>
      <c r="I105" s="493"/>
      <c r="J105" s="493"/>
      <c r="K105" s="493"/>
      <c r="L105" s="493"/>
      <c r="M105" s="493"/>
    </row>
    <row r="106" spans="1:13" s="88" customFormat="1" ht="16.5" customHeight="1">
      <c r="A106" s="89" t="s">
        <v>1223</v>
      </c>
      <c r="B106" s="92"/>
      <c r="C106" s="493" t="s">
        <v>1489</v>
      </c>
      <c r="D106" s="493"/>
      <c r="E106" s="493"/>
      <c r="F106" s="493"/>
      <c r="G106" s="493"/>
      <c r="H106" s="493"/>
      <c r="I106" s="493"/>
      <c r="J106" s="493"/>
      <c r="K106" s="493"/>
      <c r="L106" s="493"/>
      <c r="M106" s="493"/>
    </row>
    <row r="107" spans="1:13" s="88" customFormat="1" ht="16.5" customHeight="1">
      <c r="A107" s="89" t="s">
        <v>1228</v>
      </c>
      <c r="B107" s="493" t="s">
        <v>1503</v>
      </c>
      <c r="C107" s="493"/>
      <c r="D107" s="493"/>
      <c r="E107" s="493"/>
      <c r="F107" s="493"/>
      <c r="G107" s="493"/>
      <c r="H107" s="493"/>
      <c r="I107" s="493"/>
      <c r="J107" s="493"/>
      <c r="K107" s="493"/>
      <c r="L107" s="493"/>
      <c r="M107" s="493"/>
    </row>
    <row r="108" spans="1:13" ht="16.5" customHeight="1">
      <c r="A108" s="89" t="s">
        <v>1229</v>
      </c>
      <c r="B108" s="493"/>
      <c r="C108" s="493"/>
      <c r="D108" s="493"/>
      <c r="E108" s="493"/>
      <c r="F108" s="493"/>
      <c r="G108" s="493"/>
      <c r="H108" s="493"/>
      <c r="I108" s="493"/>
      <c r="J108" s="493"/>
      <c r="K108" s="493"/>
      <c r="L108" s="493"/>
      <c r="M108" s="493"/>
    </row>
    <row r="109" spans="1:13" ht="21" customHeight="1">
      <c r="B109" s="494" t="s">
        <v>1231</v>
      </c>
      <c r="C109" s="494"/>
      <c r="D109" s="494"/>
      <c r="E109" s="494"/>
      <c r="F109" s="494"/>
      <c r="G109" s="494"/>
      <c r="H109" s="494"/>
      <c r="I109" s="494"/>
      <c r="J109" s="494"/>
      <c r="K109" s="494"/>
      <c r="L109" s="495"/>
    </row>
    <row r="112" spans="1:13">
      <c r="A112" s="4" t="s">
        <v>1232</v>
      </c>
    </row>
    <row r="113" spans="2:4">
      <c r="B113" s="93"/>
      <c r="D113" s="104" t="s">
        <v>1238</v>
      </c>
    </row>
    <row r="114" spans="2:4">
      <c r="B114" s="520">
        <f ca="1">NOW()</f>
        <v>44973.745761805556</v>
      </c>
      <c r="C114" s="520"/>
      <c r="D114" s="108" t="s">
        <v>1504</v>
      </c>
    </row>
  </sheetData>
  <mergeCells count="40">
    <mergeCell ref="A1:C1"/>
    <mergeCell ref="E1:F1"/>
    <mergeCell ref="A2:B2"/>
    <mergeCell ref="C2:M2"/>
    <mergeCell ref="A3:B3"/>
    <mergeCell ref="C3:M3"/>
    <mergeCell ref="A4:B4"/>
    <mergeCell ref="C4:M4"/>
    <mergeCell ref="A5:B5"/>
    <mergeCell ref="C5:M5"/>
    <mergeCell ref="A6:B6"/>
    <mergeCell ref="C6:M6"/>
    <mergeCell ref="A101:B101"/>
    <mergeCell ref="C101:M101"/>
    <mergeCell ref="C7:M7"/>
    <mergeCell ref="B8:M8"/>
    <mergeCell ref="B9:M9"/>
    <mergeCell ref="B10:L10"/>
    <mergeCell ref="B14:M14"/>
    <mergeCell ref="B28:C28"/>
    <mergeCell ref="D28:E28"/>
    <mergeCell ref="F28:G28"/>
    <mergeCell ref="B29:C29"/>
    <mergeCell ref="D29:E29"/>
    <mergeCell ref="F29:G29"/>
    <mergeCell ref="A100:C100"/>
    <mergeCell ref="E100:F100"/>
    <mergeCell ref="A102:B102"/>
    <mergeCell ref="C102:M102"/>
    <mergeCell ref="A103:B103"/>
    <mergeCell ref="C103:M103"/>
    <mergeCell ref="A104:B104"/>
    <mergeCell ref="C104:M104"/>
    <mergeCell ref="B114:C114"/>
    <mergeCell ref="A105:B105"/>
    <mergeCell ref="C105:M105"/>
    <mergeCell ref="C106:M106"/>
    <mergeCell ref="B107:M107"/>
    <mergeCell ref="B108:M108"/>
    <mergeCell ref="B109:L109"/>
  </mergeCells>
  <phoneticPr fontId="2" type="noConversion"/>
  <pageMargins left="0.75" right="0.75" top="1" bottom="1" header="0.5" footer="0.5"/>
  <headerFooter scaleWithDoc="0"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A1:AV22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422</v>
      </c>
      <c r="B1" s="498"/>
      <c r="C1" s="499"/>
      <c r="D1" s="87"/>
      <c r="E1" s="500" t="str">
        <f>HYPERLINK("#目录!A248","跳转回到目录页")</f>
        <v>跳转回到目录页</v>
      </c>
      <c r="F1" s="501"/>
    </row>
    <row r="2" spans="1:48" s="88" customFormat="1" ht="26.25" customHeight="1">
      <c r="A2" s="502" t="s">
        <v>1216</v>
      </c>
      <c r="B2" s="502"/>
      <c r="C2" s="503" t="s">
        <v>423</v>
      </c>
      <c r="D2" s="503"/>
      <c r="E2" s="503"/>
      <c r="F2" s="503"/>
      <c r="G2" s="503"/>
      <c r="H2" s="503"/>
      <c r="I2" s="503"/>
      <c r="J2" s="503"/>
      <c r="K2" s="503"/>
      <c r="L2" s="503"/>
      <c r="M2" s="503"/>
    </row>
    <row r="3" spans="1:48" s="88" customFormat="1" ht="16.5" customHeight="1">
      <c r="A3" s="496" t="s">
        <v>1217</v>
      </c>
      <c r="B3" s="496"/>
      <c r="C3" s="493" t="s">
        <v>3750</v>
      </c>
      <c r="D3" s="493"/>
      <c r="E3" s="493"/>
      <c r="F3" s="493"/>
      <c r="G3" s="493"/>
      <c r="H3" s="493"/>
      <c r="I3" s="493"/>
      <c r="J3" s="493"/>
      <c r="K3" s="493"/>
      <c r="L3" s="493"/>
      <c r="M3" s="493"/>
    </row>
    <row r="4" spans="1:48" s="88" customFormat="1" ht="16.5" customHeight="1">
      <c r="A4" s="496" t="s">
        <v>5786</v>
      </c>
      <c r="B4" s="496"/>
      <c r="C4" s="497" t="s">
        <v>5816</v>
      </c>
      <c r="D4" s="497"/>
      <c r="E4" s="497"/>
      <c r="F4" s="497"/>
      <c r="G4" s="497"/>
      <c r="H4" s="497"/>
      <c r="I4" s="497"/>
      <c r="J4" s="497"/>
      <c r="K4" s="497"/>
      <c r="L4" s="497"/>
      <c r="M4" s="497"/>
    </row>
    <row r="5" spans="1:48" s="88" customFormat="1" ht="16.5" customHeight="1">
      <c r="A5" s="496" t="s">
        <v>1220</v>
      </c>
      <c r="B5" s="496"/>
      <c r="C5" s="493" t="s">
        <v>3751</v>
      </c>
      <c r="D5" s="493"/>
      <c r="E5" s="493"/>
      <c r="F5" s="493"/>
      <c r="G5" s="493"/>
      <c r="H5" s="493"/>
      <c r="I5" s="493"/>
      <c r="J5" s="493"/>
      <c r="K5" s="493"/>
      <c r="L5" s="493"/>
      <c r="M5" s="493"/>
    </row>
    <row r="6" spans="1:48" s="88" customFormat="1" ht="16.5" customHeight="1">
      <c r="A6" s="496" t="s">
        <v>5785</v>
      </c>
      <c r="B6" s="496"/>
      <c r="C6" s="493" t="s">
        <v>3752</v>
      </c>
      <c r="D6" s="493"/>
      <c r="E6" s="493"/>
      <c r="F6" s="493"/>
      <c r="G6" s="493"/>
      <c r="H6" s="493"/>
      <c r="I6" s="493"/>
      <c r="J6" s="493"/>
      <c r="K6" s="493"/>
      <c r="L6" s="493"/>
      <c r="M6" s="493"/>
    </row>
    <row r="7" spans="1:48" s="88" customFormat="1" ht="16.5" customHeight="1">
      <c r="A7" s="89" t="s">
        <v>1223</v>
      </c>
      <c r="B7" s="92" t="s">
        <v>2568</v>
      </c>
      <c r="C7" s="493" t="s">
        <v>3753</v>
      </c>
      <c r="D7" s="493"/>
      <c r="E7" s="493"/>
      <c r="F7" s="493"/>
      <c r="G7" s="493"/>
      <c r="H7" s="493"/>
      <c r="I7" s="493"/>
      <c r="J7" s="493"/>
      <c r="K7" s="493"/>
      <c r="L7" s="493"/>
      <c r="M7" s="493"/>
    </row>
    <row r="8" spans="1:48" s="88" customFormat="1" ht="16.5" customHeight="1">
      <c r="A8" s="89"/>
      <c r="B8" s="92" t="s">
        <v>3754</v>
      </c>
      <c r="C8" s="493" t="s">
        <v>3755</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38.25" customHeight="1">
      <c r="A11" s="89" t="s">
        <v>1229</v>
      </c>
      <c r="B11" s="493" t="s">
        <v>3756</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F15" s="189"/>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F16" s="189"/>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62" t="s">
        <v>1649</v>
      </c>
      <c r="C17" s="563"/>
      <c r="D17" s="563"/>
      <c r="E17" s="564"/>
      <c r="F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1" t="s">
        <v>1650</v>
      </c>
      <c r="C18" s="100" t="s">
        <v>1680</v>
      </c>
      <c r="D18" s="110" t="s">
        <v>1657</v>
      </c>
      <c r="E18" s="112" t="s">
        <v>1681</v>
      </c>
      <c r="F18" s="4"/>
      <c r="G18" s="95" t="s">
        <v>3757</v>
      </c>
      <c r="H18" s="97" t="s">
        <v>3758</v>
      </c>
      <c r="I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t="s">
        <v>1651</v>
      </c>
      <c r="C19" s="110">
        <v>3</v>
      </c>
      <c r="D19" s="110">
        <v>139</v>
      </c>
      <c r="E19" s="101">
        <f>C19*D19</f>
        <v>417</v>
      </c>
      <c r="F19" s="4"/>
      <c r="G19" s="111">
        <v>1</v>
      </c>
      <c r="H19" s="101">
        <f>LARGE($E$19:$E$27,1)</f>
        <v>836</v>
      </c>
      <c r="I19" s="108" t="s">
        <v>5817</v>
      </c>
      <c r="L19" s="116" t="s">
        <v>3759</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t="s">
        <v>1652</v>
      </c>
      <c r="C20" s="110">
        <v>6</v>
      </c>
      <c r="D20" s="110">
        <v>35</v>
      </c>
      <c r="E20" s="101">
        <v>417</v>
      </c>
      <c r="F20" s="18"/>
      <c r="G20" s="111">
        <v>2</v>
      </c>
      <c r="H20" s="101">
        <f>LARGE($E$19:$E$27,2)</f>
        <v>495</v>
      </c>
      <c r="I20" s="108" t="s">
        <v>5818</v>
      </c>
      <c r="L20" s="116" t="s">
        <v>3759</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t="s">
        <v>1653</v>
      </c>
      <c r="C21" s="110">
        <v>2</v>
      </c>
      <c r="D21" s="110">
        <v>186</v>
      </c>
      <c r="E21" s="101">
        <f t="shared" ref="E21:E27" si="0">C21*D21</f>
        <v>372</v>
      </c>
      <c r="F21" s="4"/>
      <c r="G21" s="111">
        <v>3</v>
      </c>
      <c r="H21" s="101">
        <f>LARGE($E$19:$E$27,G21)</f>
        <v>417</v>
      </c>
      <c r="I21" s="108" t="s">
        <v>5819</v>
      </c>
      <c r="L21" s="116" t="s">
        <v>3760</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t="s">
        <v>1682</v>
      </c>
      <c r="C22" s="110">
        <v>5</v>
      </c>
      <c r="D22" s="110">
        <v>99</v>
      </c>
      <c r="E22" s="101">
        <f t="shared" si="0"/>
        <v>495</v>
      </c>
      <c r="F22" s="4" t="s">
        <v>3592</v>
      </c>
      <c r="G22" s="111">
        <v>4</v>
      </c>
      <c r="H22" s="101">
        <f t="shared" ref="H22:H27" si="1">LARGE($E$19:$E$27,G22)</f>
        <v>417</v>
      </c>
      <c r="I22" s="158"/>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9" t="s">
        <v>1654</v>
      </c>
      <c r="C23" s="110">
        <v>1</v>
      </c>
      <c r="D23" s="110">
        <v>358</v>
      </c>
      <c r="E23" s="101">
        <f t="shared" si="0"/>
        <v>358</v>
      </c>
      <c r="G23" s="111">
        <v>5</v>
      </c>
      <c r="H23" s="101">
        <f t="shared" si="1"/>
        <v>372</v>
      </c>
      <c r="I23" s="93" t="s">
        <v>3761</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9" t="s">
        <v>1655</v>
      </c>
      <c r="C24" s="110">
        <v>3</v>
      </c>
      <c r="D24" s="110">
        <v>68</v>
      </c>
      <c r="E24" s="101">
        <f t="shared" si="0"/>
        <v>204</v>
      </c>
      <c r="G24" s="111">
        <v>6</v>
      </c>
      <c r="H24" s="101">
        <f t="shared" si="1"/>
        <v>358</v>
      </c>
      <c r="I24" s="158"/>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9" t="s">
        <v>1683</v>
      </c>
      <c r="C25" s="110">
        <v>8</v>
      </c>
      <c r="D25" s="110">
        <v>29</v>
      </c>
      <c r="E25" s="101">
        <f t="shared" si="0"/>
        <v>232</v>
      </c>
      <c r="G25" s="111">
        <v>7</v>
      </c>
      <c r="H25" s="101">
        <f t="shared" si="1"/>
        <v>338</v>
      </c>
      <c r="I25" s="158"/>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99" t="s">
        <v>1684</v>
      </c>
      <c r="C26" s="110">
        <v>4</v>
      </c>
      <c r="D26" s="110">
        <v>209</v>
      </c>
      <c r="E26" s="101">
        <f t="shared" si="0"/>
        <v>836</v>
      </c>
      <c r="G26" s="111">
        <v>8</v>
      </c>
      <c r="H26" s="101">
        <f t="shared" si="1"/>
        <v>232</v>
      </c>
      <c r="I26" s="158"/>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9" t="s">
        <v>1656</v>
      </c>
      <c r="C27" s="110">
        <v>2</v>
      </c>
      <c r="D27" s="110">
        <v>169</v>
      </c>
      <c r="E27" s="101">
        <f t="shared" si="0"/>
        <v>338</v>
      </c>
      <c r="F27" s="189"/>
      <c r="G27" s="151">
        <v>9</v>
      </c>
      <c r="H27" s="107">
        <f t="shared" si="1"/>
        <v>204</v>
      </c>
      <c r="I27" s="158"/>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9"/>
      <c r="C28" s="110"/>
      <c r="D28" s="110"/>
      <c r="E28" s="10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05"/>
      <c r="C29" s="113"/>
      <c r="D29" s="113"/>
      <c r="E29" s="107"/>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424</v>
      </c>
      <c r="B100" s="498"/>
      <c r="C100" s="499"/>
      <c r="D100" s="87"/>
      <c r="E100" s="500" t="str">
        <f>HYPERLINK("#目录!A249","跳转回到目录页")</f>
        <v>跳转回到目录页</v>
      </c>
      <c r="F100" s="501"/>
    </row>
    <row r="101" spans="1:13" s="88" customFormat="1" ht="26.25" customHeight="1">
      <c r="A101" s="502" t="s">
        <v>1216</v>
      </c>
      <c r="B101" s="502"/>
      <c r="C101" s="503" t="s">
        <v>425</v>
      </c>
      <c r="D101" s="503"/>
      <c r="E101" s="503"/>
      <c r="F101" s="503"/>
      <c r="G101" s="503"/>
      <c r="H101" s="503"/>
      <c r="I101" s="503"/>
      <c r="J101" s="503"/>
      <c r="K101" s="503"/>
      <c r="L101" s="503"/>
      <c r="M101" s="503"/>
    </row>
    <row r="102" spans="1:13" s="88" customFormat="1" ht="16.5" customHeight="1">
      <c r="A102" s="496" t="s">
        <v>1217</v>
      </c>
      <c r="B102" s="496"/>
      <c r="C102" s="493" t="s">
        <v>3762</v>
      </c>
      <c r="D102" s="493"/>
      <c r="E102" s="493"/>
      <c r="F102" s="493"/>
      <c r="G102" s="493"/>
      <c r="H102" s="493"/>
      <c r="I102" s="493"/>
      <c r="J102" s="493"/>
      <c r="K102" s="493"/>
      <c r="L102" s="493"/>
      <c r="M102" s="493"/>
    </row>
    <row r="103" spans="1:13" s="88" customFormat="1" ht="16.5" customHeight="1">
      <c r="A103" s="496" t="s">
        <v>5786</v>
      </c>
      <c r="B103" s="496"/>
      <c r="C103" s="497" t="s">
        <v>5820</v>
      </c>
      <c r="D103" s="497"/>
      <c r="E103" s="497"/>
      <c r="F103" s="497"/>
      <c r="G103" s="497"/>
      <c r="H103" s="497"/>
      <c r="I103" s="497"/>
      <c r="J103" s="497"/>
      <c r="K103" s="497"/>
      <c r="L103" s="497"/>
      <c r="M103" s="497"/>
    </row>
    <row r="104" spans="1:13" s="88" customFormat="1" ht="16.5" customHeight="1">
      <c r="A104" s="496" t="s">
        <v>1220</v>
      </c>
      <c r="B104" s="496"/>
      <c r="C104" s="493" t="s">
        <v>3763</v>
      </c>
      <c r="D104" s="493"/>
      <c r="E104" s="493"/>
      <c r="F104" s="493"/>
      <c r="G104" s="493"/>
      <c r="H104" s="493"/>
      <c r="I104" s="493"/>
      <c r="J104" s="493"/>
      <c r="K104" s="493"/>
      <c r="L104" s="493"/>
      <c r="M104" s="493"/>
    </row>
    <row r="105" spans="1:13" s="88" customFormat="1" ht="16.5" customHeight="1">
      <c r="A105" s="496" t="s">
        <v>5785</v>
      </c>
      <c r="B105" s="496"/>
      <c r="C105" s="493" t="s">
        <v>3764</v>
      </c>
      <c r="D105" s="493"/>
      <c r="E105" s="493"/>
      <c r="F105" s="493"/>
      <c r="G105" s="493"/>
      <c r="H105" s="493"/>
      <c r="I105" s="493"/>
      <c r="J105" s="493"/>
      <c r="K105" s="493"/>
      <c r="L105" s="493"/>
      <c r="M105" s="493"/>
    </row>
    <row r="106" spans="1:13" s="88" customFormat="1" ht="16.5" customHeight="1">
      <c r="A106" s="89" t="s">
        <v>1223</v>
      </c>
      <c r="B106" s="92" t="s">
        <v>2568</v>
      </c>
      <c r="C106" s="493" t="s">
        <v>3765</v>
      </c>
      <c r="D106" s="493"/>
      <c r="E106" s="493"/>
      <c r="F106" s="493"/>
      <c r="G106" s="493"/>
      <c r="H106" s="493"/>
      <c r="I106" s="493"/>
      <c r="J106" s="493"/>
      <c r="K106" s="493"/>
      <c r="L106" s="493"/>
      <c r="M106" s="493"/>
    </row>
    <row r="107" spans="1:13" s="88" customFormat="1" ht="16.5" customHeight="1">
      <c r="A107" s="89"/>
      <c r="B107" s="92" t="s">
        <v>3754</v>
      </c>
      <c r="C107" s="493" t="s">
        <v>3766</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38.25" customHeight="1">
      <c r="A110" s="89" t="s">
        <v>1229</v>
      </c>
      <c r="B110" s="493" t="s">
        <v>3767</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F114" s="189"/>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c r="F115" s="189"/>
    </row>
    <row r="116" spans="1:48" ht="16.5" customHeight="1">
      <c r="B116" s="562" t="s">
        <v>1649</v>
      </c>
      <c r="C116" s="563"/>
      <c r="D116" s="563"/>
      <c r="E116" s="564"/>
      <c r="G116" s="94" t="s">
        <v>3768</v>
      </c>
      <c r="H116" s="93"/>
      <c r="I116" s="93"/>
      <c r="J116" s="93"/>
      <c r="K116" s="93"/>
      <c r="L116" s="93"/>
    </row>
    <row r="117" spans="1:48" ht="16.5" customHeight="1">
      <c r="B117" s="111" t="s">
        <v>1650</v>
      </c>
      <c r="C117" s="100" t="s">
        <v>1680</v>
      </c>
      <c r="D117" s="110" t="s">
        <v>1657</v>
      </c>
      <c r="E117" s="112" t="s">
        <v>1681</v>
      </c>
      <c r="G117" s="95" t="s">
        <v>3757</v>
      </c>
      <c r="H117" s="97" t="s">
        <v>3758</v>
      </c>
      <c r="I117" s="104" t="s">
        <v>1238</v>
      </c>
      <c r="J117" s="93"/>
      <c r="K117" s="93"/>
      <c r="L117" s="93"/>
    </row>
    <row r="118" spans="1:48" ht="16.5" customHeight="1">
      <c r="B118" s="99" t="s">
        <v>1651</v>
      </c>
      <c r="C118" s="110">
        <v>3</v>
      </c>
      <c r="D118" s="110">
        <v>139</v>
      </c>
      <c r="E118" s="101">
        <f>C118*D118</f>
        <v>417</v>
      </c>
      <c r="G118" s="111">
        <v>1</v>
      </c>
      <c r="H118" s="101">
        <f>SMALL($E$118:$E$126,1)</f>
        <v>204</v>
      </c>
      <c r="I118" s="108" t="s">
        <v>5821</v>
      </c>
      <c r="J118" s="93"/>
      <c r="K118" s="93"/>
      <c r="L118" s="116" t="s">
        <v>3759</v>
      </c>
    </row>
    <row r="119" spans="1:48" ht="16.5" customHeight="1">
      <c r="B119" s="99" t="s">
        <v>1652</v>
      </c>
      <c r="C119" s="110">
        <v>6</v>
      </c>
      <c r="D119" s="110">
        <v>35</v>
      </c>
      <c r="E119" s="101">
        <v>417</v>
      </c>
      <c r="F119" s="18"/>
      <c r="G119" s="111">
        <v>2</v>
      </c>
      <c r="H119" s="101">
        <f>SMALL($E$118:$E$126,2)</f>
        <v>232</v>
      </c>
      <c r="I119" s="108" t="s">
        <v>5822</v>
      </c>
      <c r="J119" s="93"/>
      <c r="K119" s="93"/>
      <c r="L119" s="116" t="s">
        <v>3759</v>
      </c>
    </row>
    <row r="120" spans="1:48" ht="16.5" customHeight="1">
      <c r="B120" s="99" t="s">
        <v>1653</v>
      </c>
      <c r="C120" s="110">
        <v>2</v>
      </c>
      <c r="D120" s="110">
        <v>186</v>
      </c>
      <c r="E120" s="101">
        <f t="shared" ref="E120:E126" si="2">C120*D120</f>
        <v>372</v>
      </c>
      <c r="G120" s="111">
        <v>3</v>
      </c>
      <c r="H120" s="101">
        <f>SMALL($E$118:$E$126,G120)</f>
        <v>338</v>
      </c>
      <c r="I120" s="108" t="s">
        <v>5823</v>
      </c>
      <c r="J120" s="93"/>
      <c r="K120" s="93"/>
      <c r="L120" s="116" t="s">
        <v>3769</v>
      </c>
    </row>
    <row r="121" spans="1:48" ht="16.5" customHeight="1">
      <c r="B121" s="99" t="s">
        <v>1682</v>
      </c>
      <c r="C121" s="110">
        <v>5</v>
      </c>
      <c r="D121" s="110">
        <v>99</v>
      </c>
      <c r="E121" s="101">
        <f t="shared" si="2"/>
        <v>495</v>
      </c>
      <c r="F121" s="4" t="s">
        <v>3592</v>
      </c>
      <c r="G121" s="111">
        <v>4</v>
      </c>
      <c r="H121" s="101">
        <f t="shared" ref="H121:H126" si="3">SMALL($E$118:$E$126,G121)</f>
        <v>358</v>
      </c>
      <c r="I121" s="158"/>
      <c r="J121" s="93"/>
      <c r="K121" s="93"/>
      <c r="L121" s="93"/>
    </row>
    <row r="122" spans="1:48" ht="16.5" customHeight="1">
      <c r="B122" s="99" t="s">
        <v>1654</v>
      </c>
      <c r="C122" s="110">
        <v>1</v>
      </c>
      <c r="D122" s="110">
        <v>358</v>
      </c>
      <c r="E122" s="101">
        <f t="shared" si="2"/>
        <v>358</v>
      </c>
      <c r="F122" s="93"/>
      <c r="G122" s="111">
        <v>5</v>
      </c>
      <c r="H122" s="101">
        <f t="shared" si="3"/>
        <v>372</v>
      </c>
      <c r="I122" s="158"/>
      <c r="J122" s="93"/>
      <c r="K122" s="93"/>
      <c r="L122" s="93"/>
    </row>
    <row r="123" spans="1:48" ht="16.5" customHeight="1">
      <c r="B123" s="99" t="s">
        <v>1655</v>
      </c>
      <c r="C123" s="110">
        <v>3</v>
      </c>
      <c r="D123" s="110">
        <v>68</v>
      </c>
      <c r="E123" s="101">
        <f t="shared" si="2"/>
        <v>204</v>
      </c>
      <c r="F123" s="93"/>
      <c r="G123" s="111">
        <v>6</v>
      </c>
      <c r="H123" s="101">
        <f t="shared" si="3"/>
        <v>417</v>
      </c>
      <c r="I123" s="158"/>
      <c r="J123" s="93"/>
      <c r="K123" s="93"/>
      <c r="L123" s="93"/>
    </row>
    <row r="124" spans="1:48" ht="16.5" customHeight="1">
      <c r="B124" s="99" t="s">
        <v>1683</v>
      </c>
      <c r="C124" s="110">
        <v>8</v>
      </c>
      <c r="D124" s="110">
        <v>29</v>
      </c>
      <c r="E124" s="101">
        <f t="shared" si="2"/>
        <v>232</v>
      </c>
      <c r="F124" s="93"/>
      <c r="G124" s="111">
        <v>7</v>
      </c>
      <c r="H124" s="101">
        <f t="shared" si="3"/>
        <v>417</v>
      </c>
      <c r="I124" s="158"/>
      <c r="J124" s="93"/>
      <c r="K124" s="93"/>
      <c r="L124" s="93"/>
    </row>
    <row r="125" spans="1:48" ht="16.5" customHeight="1">
      <c r="B125" s="99" t="s">
        <v>1684</v>
      </c>
      <c r="C125" s="110">
        <v>4</v>
      </c>
      <c r="D125" s="110">
        <v>209</v>
      </c>
      <c r="E125" s="101">
        <f t="shared" si="2"/>
        <v>836</v>
      </c>
      <c r="F125" s="93"/>
      <c r="G125" s="111">
        <v>8</v>
      </c>
      <c r="H125" s="101">
        <f t="shared" si="3"/>
        <v>495</v>
      </c>
      <c r="I125" s="158"/>
      <c r="J125" s="93"/>
      <c r="K125" s="93"/>
      <c r="L125" s="93"/>
    </row>
    <row r="126" spans="1:48" ht="16.5" customHeight="1">
      <c r="B126" s="99" t="s">
        <v>1656</v>
      </c>
      <c r="C126" s="110">
        <v>2</v>
      </c>
      <c r="D126" s="110">
        <v>169</v>
      </c>
      <c r="E126" s="101">
        <f t="shared" si="2"/>
        <v>338</v>
      </c>
      <c r="F126" s="189"/>
      <c r="G126" s="151">
        <v>9</v>
      </c>
      <c r="H126" s="107">
        <f t="shared" si="3"/>
        <v>836</v>
      </c>
      <c r="I126" s="158"/>
      <c r="J126" s="93"/>
      <c r="K126" s="93"/>
      <c r="L126" s="93"/>
    </row>
    <row r="127" spans="1:48" ht="16.5" customHeight="1">
      <c r="B127" s="99"/>
      <c r="C127" s="110"/>
      <c r="D127" s="110"/>
      <c r="E127" s="101"/>
      <c r="F127" s="93"/>
      <c r="G127" s="93"/>
      <c r="H127" s="93"/>
      <c r="I127" s="93"/>
      <c r="J127" s="93"/>
      <c r="K127" s="93"/>
      <c r="L127" s="93"/>
    </row>
    <row r="128" spans="1:48" ht="16.5" customHeight="1">
      <c r="B128" s="105"/>
      <c r="C128" s="113"/>
      <c r="D128" s="113"/>
      <c r="E128" s="107"/>
      <c r="F128" s="93"/>
      <c r="G128" s="93"/>
      <c r="H128" s="93"/>
      <c r="I128" s="93"/>
      <c r="J128" s="93"/>
      <c r="K128" s="93"/>
      <c r="L128" s="93"/>
    </row>
    <row r="129" s="4" customFormat="1" ht="16.5" customHeight="1"/>
    <row r="200" spans="1:13" s="88" customFormat="1" ht="26.25" customHeight="1">
      <c r="A200" s="498" t="s">
        <v>426</v>
      </c>
      <c r="B200" s="498"/>
      <c r="C200" s="499"/>
      <c r="D200" s="87"/>
      <c r="E200" s="500" t="str">
        <f>HYPERLINK("#目录!A250","跳转回到目录页")</f>
        <v>跳转回到目录页</v>
      </c>
      <c r="F200" s="501"/>
    </row>
    <row r="201" spans="1:13" s="88" customFormat="1" ht="26.25" customHeight="1">
      <c r="A201" s="502" t="s">
        <v>1216</v>
      </c>
      <c r="B201" s="502"/>
      <c r="C201" s="503" t="s">
        <v>3770</v>
      </c>
      <c r="D201" s="503"/>
      <c r="E201" s="503"/>
      <c r="F201" s="503"/>
      <c r="G201" s="503"/>
      <c r="H201" s="503"/>
      <c r="I201" s="503"/>
      <c r="J201" s="503"/>
      <c r="K201" s="503"/>
      <c r="L201" s="503"/>
      <c r="M201" s="503"/>
    </row>
    <row r="202" spans="1:13" s="88" customFormat="1" ht="16.5" customHeight="1">
      <c r="A202" s="496" t="s">
        <v>1217</v>
      </c>
      <c r="B202" s="496"/>
      <c r="C202" s="493" t="s">
        <v>3771</v>
      </c>
      <c r="D202" s="493"/>
      <c r="E202" s="493"/>
      <c r="F202" s="493"/>
      <c r="G202" s="493"/>
      <c r="H202" s="493"/>
      <c r="I202" s="493"/>
      <c r="J202" s="493"/>
      <c r="K202" s="493"/>
      <c r="L202" s="493"/>
      <c r="M202" s="493"/>
    </row>
    <row r="203" spans="1:13" s="88" customFormat="1" ht="16.5" customHeight="1">
      <c r="A203" s="496" t="s">
        <v>5786</v>
      </c>
      <c r="B203" s="496"/>
      <c r="C203" s="497" t="s">
        <v>3772</v>
      </c>
      <c r="D203" s="497"/>
      <c r="E203" s="497"/>
      <c r="F203" s="497"/>
      <c r="G203" s="497"/>
      <c r="H203" s="497"/>
      <c r="I203" s="497"/>
      <c r="J203" s="497"/>
      <c r="K203" s="497"/>
      <c r="L203" s="497"/>
      <c r="M203" s="497"/>
    </row>
    <row r="204" spans="1:13" s="88" customFormat="1" ht="16.5" customHeight="1">
      <c r="A204" s="496" t="s">
        <v>1220</v>
      </c>
      <c r="B204" s="496"/>
      <c r="C204" s="493" t="s">
        <v>3773</v>
      </c>
      <c r="D204" s="493"/>
      <c r="E204" s="493"/>
      <c r="F204" s="493"/>
      <c r="G204" s="493"/>
      <c r="H204" s="493"/>
      <c r="I204" s="493"/>
      <c r="J204" s="493"/>
      <c r="K204" s="493"/>
      <c r="L204" s="493"/>
      <c r="M204" s="493"/>
    </row>
    <row r="205" spans="1:13" s="88" customFormat="1" ht="16.5" customHeight="1">
      <c r="A205" s="496" t="s">
        <v>5785</v>
      </c>
      <c r="B205" s="496"/>
      <c r="C205" s="493" t="s">
        <v>3774</v>
      </c>
      <c r="D205" s="493"/>
      <c r="E205" s="493"/>
      <c r="F205" s="493"/>
      <c r="G205" s="493"/>
      <c r="H205" s="493"/>
      <c r="I205" s="493"/>
      <c r="J205" s="493"/>
      <c r="K205" s="493"/>
      <c r="L205" s="493"/>
      <c r="M205" s="493"/>
    </row>
    <row r="206" spans="1:13" s="88" customFormat="1" ht="16.5" customHeight="1">
      <c r="A206" s="89" t="s">
        <v>1223</v>
      </c>
      <c r="B206" s="92" t="s">
        <v>2200</v>
      </c>
      <c r="C206" s="493" t="s">
        <v>3775</v>
      </c>
      <c r="D206" s="493"/>
      <c r="E206" s="493"/>
      <c r="F206" s="493"/>
      <c r="G206" s="493"/>
      <c r="H206" s="493"/>
      <c r="I206" s="493"/>
      <c r="J206" s="493"/>
      <c r="K206" s="493"/>
      <c r="L206" s="493"/>
      <c r="M206" s="493"/>
    </row>
    <row r="207" spans="1:13" s="88" customFormat="1" ht="16.5" customHeight="1">
      <c r="A207" s="89"/>
      <c r="B207" s="92" t="s">
        <v>3776</v>
      </c>
      <c r="C207" s="493" t="s">
        <v>3777</v>
      </c>
      <c r="D207" s="493"/>
      <c r="E207" s="493"/>
      <c r="F207" s="493"/>
      <c r="G207" s="493"/>
      <c r="H207" s="493"/>
      <c r="I207" s="493"/>
      <c r="J207" s="493"/>
      <c r="K207" s="493"/>
      <c r="L207" s="493"/>
      <c r="M207" s="493"/>
    </row>
    <row r="208" spans="1:13" s="88" customFormat="1" ht="24.75" customHeight="1">
      <c r="A208" s="89"/>
      <c r="B208" s="90" t="s">
        <v>3778</v>
      </c>
      <c r="C208" s="493" t="s">
        <v>3779</v>
      </c>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66" customHeight="1">
      <c r="A210" s="89" t="s">
        <v>1229</v>
      </c>
      <c r="B210" s="493" t="s">
        <v>3780</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c r="G213" s="189"/>
    </row>
    <row r="214" spans="1:13" ht="16.5" customHeight="1"/>
    <row r="215" spans="1:13" ht="16.5" customHeight="1"/>
    <row r="216" spans="1:13" ht="16.5" customHeight="1">
      <c r="B216" s="562" t="s">
        <v>1649</v>
      </c>
      <c r="C216" s="563"/>
      <c r="D216" s="563"/>
      <c r="E216" s="564"/>
      <c r="F216" s="98" t="s">
        <v>3781</v>
      </c>
      <c r="G216" s="93"/>
      <c r="I216" s="93"/>
      <c r="J216" s="94" t="s">
        <v>3782</v>
      </c>
    </row>
    <row r="217" spans="1:13" ht="16.5" customHeight="1">
      <c r="B217" s="111" t="s">
        <v>1650</v>
      </c>
      <c r="C217" s="100" t="s">
        <v>1680</v>
      </c>
      <c r="D217" s="110" t="s">
        <v>1657</v>
      </c>
      <c r="E217" s="112" t="s">
        <v>1681</v>
      </c>
      <c r="F217" s="102" t="s">
        <v>3757</v>
      </c>
      <c r="G217" s="104" t="s">
        <v>1238</v>
      </c>
      <c r="J217" s="98" t="s">
        <v>3758</v>
      </c>
      <c r="K217" s="104" t="s">
        <v>1238</v>
      </c>
    </row>
    <row r="218" spans="1:13" ht="16.5" customHeight="1">
      <c r="B218" s="99" t="s">
        <v>1651</v>
      </c>
      <c r="C218" s="110">
        <v>3</v>
      </c>
      <c r="D218" s="110">
        <v>139</v>
      </c>
      <c r="E218" s="101">
        <f>C218*D218</f>
        <v>417</v>
      </c>
      <c r="F218" s="102" t="e">
        <f>#N/A</f>
        <v>#N/A</v>
      </c>
      <c r="G218" s="108" t="s">
        <v>5824</v>
      </c>
      <c r="J218" s="196" t="e">
        <f>#N/A</f>
        <v>#N/A</v>
      </c>
      <c r="K218" s="108" t="s">
        <v>5825</v>
      </c>
    </row>
    <row r="219" spans="1:13" ht="16.5" customHeight="1">
      <c r="B219" s="99" t="s">
        <v>1652</v>
      </c>
      <c r="C219" s="110">
        <v>6</v>
      </c>
      <c r="D219" s="110">
        <v>35</v>
      </c>
      <c r="E219" s="101">
        <v>417</v>
      </c>
      <c r="F219" s="102" t="e">
        <f>#N/A</f>
        <v>#N/A</v>
      </c>
      <c r="G219" s="108" t="s">
        <v>5826</v>
      </c>
      <c r="J219" s="196" t="e">
        <f>#N/A</f>
        <v>#N/A</v>
      </c>
      <c r="K219" s="108" t="s">
        <v>5827</v>
      </c>
    </row>
    <row r="220" spans="1:13" ht="16.5" customHeight="1">
      <c r="B220" s="99" t="s">
        <v>1653</v>
      </c>
      <c r="C220" s="110">
        <v>2</v>
      </c>
      <c r="D220" s="110">
        <v>186</v>
      </c>
      <c r="E220" s="101">
        <f t="shared" ref="E220:E226" si="4">C220*D220</f>
        <v>372</v>
      </c>
      <c r="F220" s="102" t="e">
        <f>#N/A</f>
        <v>#N/A</v>
      </c>
      <c r="G220" s="108" t="s">
        <v>5828</v>
      </c>
      <c r="J220" s="196" t="e">
        <f>#N/A</f>
        <v>#N/A</v>
      </c>
      <c r="K220" s="108" t="s">
        <v>5829</v>
      </c>
    </row>
    <row r="221" spans="1:13" ht="16.5" customHeight="1">
      <c r="B221" s="99" t="s">
        <v>1682</v>
      </c>
      <c r="C221" s="110">
        <v>5</v>
      </c>
      <c r="D221" s="110">
        <v>99</v>
      </c>
      <c r="E221" s="101">
        <f t="shared" si="4"/>
        <v>495</v>
      </c>
      <c r="F221" s="102">
        <f t="shared" ref="F221:F226" si="5">RANK(E221,$E$218:$E$226,1)</f>
        <v>8</v>
      </c>
      <c r="I221" s="158"/>
      <c r="J221" s="196">
        <f t="shared" ref="J221:J226" si="6">RANK(E221,$E$218:$E$226,0)</f>
        <v>2</v>
      </c>
    </row>
    <row r="222" spans="1:13" ht="16.5" customHeight="1">
      <c r="B222" s="99" t="s">
        <v>1654</v>
      </c>
      <c r="C222" s="110">
        <v>1</v>
      </c>
      <c r="D222" s="110">
        <v>358</v>
      </c>
      <c r="E222" s="101">
        <f t="shared" si="4"/>
        <v>358</v>
      </c>
      <c r="F222" s="102">
        <f t="shared" si="5"/>
        <v>4</v>
      </c>
      <c r="I222" s="158"/>
      <c r="J222" s="196">
        <f t="shared" si="6"/>
        <v>6</v>
      </c>
    </row>
    <row r="223" spans="1:13" ht="16.5" customHeight="1">
      <c r="B223" s="99" t="s">
        <v>1655</v>
      </c>
      <c r="C223" s="110">
        <v>3</v>
      </c>
      <c r="D223" s="110">
        <v>68</v>
      </c>
      <c r="E223" s="101">
        <f t="shared" si="4"/>
        <v>204</v>
      </c>
      <c r="F223" s="102">
        <f t="shared" si="5"/>
        <v>1</v>
      </c>
      <c r="I223" s="158"/>
      <c r="J223" s="196">
        <f t="shared" si="6"/>
        <v>9</v>
      </c>
    </row>
    <row r="224" spans="1:13" ht="16.5" customHeight="1">
      <c r="B224" s="99" t="s">
        <v>1683</v>
      </c>
      <c r="C224" s="110">
        <v>8</v>
      </c>
      <c r="D224" s="110">
        <v>29</v>
      </c>
      <c r="E224" s="101">
        <f t="shared" si="4"/>
        <v>232</v>
      </c>
      <c r="F224" s="102">
        <f t="shared" si="5"/>
        <v>2</v>
      </c>
      <c r="I224" s="158"/>
      <c r="J224" s="196">
        <f t="shared" si="6"/>
        <v>8</v>
      </c>
    </row>
    <row r="225" spans="2:10" ht="16.5" customHeight="1">
      <c r="B225" s="99" t="s">
        <v>1684</v>
      </c>
      <c r="C225" s="110">
        <v>4</v>
      </c>
      <c r="D225" s="110">
        <v>209</v>
      </c>
      <c r="E225" s="101">
        <f t="shared" si="4"/>
        <v>836</v>
      </c>
      <c r="F225" s="102">
        <f t="shared" si="5"/>
        <v>9</v>
      </c>
      <c r="I225" s="158"/>
      <c r="J225" s="196">
        <f t="shared" si="6"/>
        <v>1</v>
      </c>
    </row>
    <row r="226" spans="2:10" ht="16.5" customHeight="1">
      <c r="B226" s="99" t="s">
        <v>1656</v>
      </c>
      <c r="C226" s="110">
        <v>2</v>
      </c>
      <c r="D226" s="110">
        <v>169</v>
      </c>
      <c r="E226" s="101">
        <f t="shared" si="4"/>
        <v>338</v>
      </c>
      <c r="F226" s="103">
        <f t="shared" si="5"/>
        <v>3</v>
      </c>
      <c r="I226" s="158"/>
      <c r="J226" s="115">
        <f t="shared" si="6"/>
        <v>7</v>
      </c>
    </row>
    <row r="227" spans="2:10" ht="16.5" customHeight="1">
      <c r="B227" s="99"/>
      <c r="C227" s="110"/>
      <c r="D227" s="110"/>
      <c r="E227" s="101"/>
      <c r="F227" s="93" t="s">
        <v>3783</v>
      </c>
      <c r="H227" s="93"/>
      <c r="I227" s="93"/>
    </row>
    <row r="228" spans="2:10" ht="16.5" customHeight="1">
      <c r="B228" s="105"/>
      <c r="C228" s="113"/>
      <c r="D228" s="113"/>
      <c r="E228" s="107"/>
      <c r="F228" s="93"/>
      <c r="G228" s="93"/>
      <c r="H228" s="93"/>
      <c r="I228" s="93"/>
    </row>
    <row r="229" spans="2:10" ht="16.5" customHeight="1"/>
  </sheetData>
  <mergeCells count="57">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E17"/>
    <mergeCell ref="A100:C100"/>
    <mergeCell ref="E100:F100"/>
    <mergeCell ref="A101:B101"/>
    <mergeCell ref="C101:M101"/>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6:E116"/>
    <mergeCell ref="A200:C200"/>
    <mergeCell ref="E200:F200"/>
    <mergeCell ref="A201:B201"/>
    <mergeCell ref="C201:M201"/>
    <mergeCell ref="A203:B203"/>
    <mergeCell ref="C203:M203"/>
    <mergeCell ref="A204:B204"/>
    <mergeCell ref="C204:M204"/>
    <mergeCell ref="A205:B205"/>
    <mergeCell ref="C205:M205"/>
    <mergeCell ref="B216:E216"/>
    <mergeCell ref="C206:M206"/>
    <mergeCell ref="C207:M207"/>
    <mergeCell ref="C208:M208"/>
    <mergeCell ref="B209:M209"/>
    <mergeCell ref="B210:M210"/>
    <mergeCell ref="B211:L211"/>
  </mergeCells>
  <phoneticPr fontId="2" type="noConversion"/>
  <pageMargins left="0.75" right="0.75" top="1" bottom="1" header="0.5" footer="0.5"/>
  <pageSetup paperSize="9" orientation="portrait" horizontalDpi="0" verticalDpi="0"/>
  <headerFooter scaleWithDoc="0"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dimension ref="A1:M47"/>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428</v>
      </c>
      <c r="B1" s="498"/>
      <c r="C1" s="499"/>
      <c r="D1" s="87"/>
      <c r="E1" s="500" t="str">
        <f>HYPERLINK("#目录!A252","跳转回到目录页")</f>
        <v>跳转回到目录页</v>
      </c>
      <c r="F1" s="501"/>
    </row>
    <row r="2" spans="1:13" s="88" customFormat="1" ht="26.25" customHeight="1">
      <c r="A2" s="502" t="s">
        <v>1216</v>
      </c>
      <c r="B2" s="502"/>
      <c r="C2" s="503" t="s">
        <v>429</v>
      </c>
      <c r="D2" s="503"/>
      <c r="E2" s="503"/>
      <c r="F2" s="503"/>
      <c r="G2" s="503"/>
      <c r="H2" s="503"/>
      <c r="I2" s="503"/>
      <c r="J2" s="503"/>
      <c r="K2" s="503"/>
      <c r="L2" s="503"/>
      <c r="M2" s="503"/>
    </row>
    <row r="3" spans="1:13" s="88" customFormat="1" ht="16.5" customHeight="1">
      <c r="A3" s="496" t="s">
        <v>1217</v>
      </c>
      <c r="B3" s="496"/>
      <c r="C3" s="493" t="s">
        <v>3784</v>
      </c>
      <c r="D3" s="493"/>
      <c r="E3" s="493"/>
      <c r="F3" s="493"/>
      <c r="G3" s="493"/>
      <c r="H3" s="493"/>
      <c r="I3" s="493"/>
      <c r="J3" s="493"/>
      <c r="K3" s="493"/>
      <c r="L3" s="493"/>
      <c r="M3" s="493"/>
    </row>
    <row r="4" spans="1:13" s="88" customFormat="1" ht="16.5" customHeight="1">
      <c r="A4" s="496" t="s">
        <v>5786</v>
      </c>
      <c r="B4" s="496"/>
      <c r="C4" s="497" t="s">
        <v>5814</v>
      </c>
      <c r="D4" s="497"/>
      <c r="E4" s="497"/>
      <c r="F4" s="497"/>
      <c r="G4" s="497"/>
      <c r="H4" s="497"/>
      <c r="I4" s="497"/>
      <c r="J4" s="497"/>
      <c r="K4" s="497"/>
      <c r="L4" s="497"/>
      <c r="M4" s="497"/>
    </row>
    <row r="5" spans="1:13" s="88" customFormat="1" ht="16.5" customHeight="1">
      <c r="A5" s="496" t="s">
        <v>1220</v>
      </c>
      <c r="B5" s="496"/>
      <c r="C5" s="493" t="s">
        <v>3785</v>
      </c>
      <c r="D5" s="493"/>
      <c r="E5" s="493"/>
      <c r="F5" s="493"/>
      <c r="G5" s="493"/>
      <c r="H5" s="493"/>
      <c r="I5" s="493"/>
      <c r="J5" s="493"/>
      <c r="K5" s="493"/>
      <c r="L5" s="493"/>
      <c r="M5" s="493"/>
    </row>
    <row r="6" spans="1:13" s="88" customFormat="1" ht="16.5" customHeight="1">
      <c r="A6" s="496" t="s">
        <v>5785</v>
      </c>
      <c r="B6" s="496"/>
      <c r="C6" s="493" t="s">
        <v>3786</v>
      </c>
      <c r="D6" s="493"/>
      <c r="E6" s="493"/>
      <c r="F6" s="493"/>
      <c r="G6" s="493"/>
      <c r="H6" s="493"/>
      <c r="I6" s="493"/>
      <c r="J6" s="493"/>
      <c r="K6" s="493"/>
      <c r="L6" s="493"/>
      <c r="M6" s="493"/>
    </row>
    <row r="7" spans="1:13" s="88" customFormat="1" ht="16.5" customHeight="1">
      <c r="A7" s="89" t="s">
        <v>1223</v>
      </c>
      <c r="B7" s="92" t="s">
        <v>3787</v>
      </c>
      <c r="C7" s="493" t="s">
        <v>3788</v>
      </c>
      <c r="D7" s="493"/>
      <c r="E7" s="493"/>
      <c r="F7" s="493"/>
      <c r="G7" s="493"/>
      <c r="H7" s="493"/>
      <c r="I7" s="493"/>
      <c r="J7" s="493"/>
      <c r="K7" s="493"/>
      <c r="L7" s="493"/>
      <c r="M7" s="493"/>
    </row>
    <row r="8" spans="1:13" s="88" customFormat="1" ht="24.75" customHeight="1">
      <c r="A8" s="89"/>
      <c r="B8" s="92" t="s">
        <v>3789</v>
      </c>
      <c r="C8" s="493" t="s">
        <v>3790</v>
      </c>
      <c r="D8" s="493"/>
      <c r="E8" s="493"/>
      <c r="F8" s="493"/>
      <c r="G8" s="493"/>
      <c r="H8" s="493"/>
      <c r="I8" s="493"/>
      <c r="J8" s="493"/>
      <c r="K8" s="493"/>
      <c r="L8" s="493"/>
      <c r="M8" s="493"/>
    </row>
    <row r="9" spans="1:13" s="88" customFormat="1" ht="16.5" customHeight="1">
      <c r="A9" s="89"/>
      <c r="B9" s="90"/>
      <c r="C9" s="493"/>
      <c r="D9" s="493"/>
      <c r="E9" s="493"/>
      <c r="F9" s="493"/>
      <c r="G9" s="493"/>
      <c r="H9" s="493"/>
      <c r="I9" s="493"/>
      <c r="J9" s="493"/>
      <c r="K9" s="493"/>
      <c r="L9" s="493"/>
      <c r="M9" s="493"/>
    </row>
    <row r="10" spans="1:13" s="88" customFormat="1" ht="16.5" customHeight="1">
      <c r="A10" s="89" t="s">
        <v>1228</v>
      </c>
      <c r="B10" s="493"/>
      <c r="C10" s="493"/>
      <c r="D10" s="493"/>
      <c r="E10" s="493"/>
      <c r="F10" s="493"/>
      <c r="G10" s="493"/>
      <c r="H10" s="493"/>
      <c r="I10" s="493"/>
      <c r="J10" s="493"/>
      <c r="K10" s="493"/>
      <c r="L10" s="493"/>
      <c r="M10" s="493"/>
    </row>
    <row r="11" spans="1:13" ht="74.25" customHeight="1">
      <c r="A11" s="89" t="s">
        <v>1229</v>
      </c>
      <c r="B11" s="493" t="s">
        <v>5815</v>
      </c>
      <c r="C11" s="493"/>
      <c r="D11" s="493"/>
      <c r="E11" s="493"/>
      <c r="F11" s="493"/>
      <c r="G11" s="493"/>
      <c r="H11" s="493"/>
      <c r="I11" s="493"/>
      <c r="J11" s="493"/>
      <c r="K11" s="493"/>
      <c r="L11" s="493"/>
      <c r="M11" s="493"/>
    </row>
    <row r="12" spans="1:13" ht="21" customHeight="1">
      <c r="B12" s="494" t="s">
        <v>2863</v>
      </c>
      <c r="C12" s="494"/>
      <c r="D12" s="494"/>
      <c r="E12" s="494"/>
      <c r="F12" s="494"/>
      <c r="G12" s="494"/>
      <c r="H12" s="494"/>
      <c r="I12" s="494"/>
      <c r="J12" s="494"/>
      <c r="K12" s="494"/>
      <c r="L12" s="495"/>
    </row>
    <row r="13" spans="1:13" s="93" customFormat="1" ht="16.5" customHeight="1"/>
    <row r="14" spans="1:13" s="93" customFormat="1" ht="16.5" customHeight="1">
      <c r="A14" s="94" t="s">
        <v>1232</v>
      </c>
      <c r="B14" s="93" t="s">
        <v>1773</v>
      </c>
      <c r="F14" s="189"/>
    </row>
    <row r="15" spans="1:13" ht="16.5" customHeight="1"/>
    <row r="16" spans="1:13" ht="16.5" customHeight="1"/>
    <row r="17" spans="2:12" ht="16.5" customHeight="1">
      <c r="B17" s="194" t="s">
        <v>1861</v>
      </c>
      <c r="C17" s="195"/>
      <c r="D17" s="175"/>
      <c r="E17" s="175"/>
    </row>
    <row r="18" spans="2:12" ht="16.5" customHeight="1">
      <c r="B18" s="111" t="s">
        <v>1246</v>
      </c>
      <c r="C18" s="112" t="s">
        <v>3593</v>
      </c>
      <c r="E18" s="187" t="s">
        <v>3791</v>
      </c>
      <c r="F18" s="138" t="s">
        <v>3792</v>
      </c>
      <c r="G18" s="104" t="s">
        <v>1238</v>
      </c>
      <c r="H18" s="93"/>
      <c r="I18" s="93"/>
      <c r="J18" s="93"/>
      <c r="L18" s="93"/>
    </row>
    <row r="19" spans="2:12" ht="16.5" customHeight="1">
      <c r="B19" s="111" t="s">
        <v>1843</v>
      </c>
      <c r="C19" s="177">
        <v>56</v>
      </c>
      <c r="E19" s="99">
        <v>49</v>
      </c>
      <c r="F19" s="101">
        <f t="array" ref="F19:F24">FREQUENCY($C$19:$C$30,$E$19:$E$23)</f>
        <v>0</v>
      </c>
      <c r="G19" s="108" t="s">
        <v>3793</v>
      </c>
      <c r="H19" s="93"/>
      <c r="I19" s="93"/>
      <c r="J19" s="93"/>
      <c r="L19" s="93"/>
    </row>
    <row r="20" spans="2:12" ht="16.5" customHeight="1">
      <c r="B20" s="111" t="s">
        <v>1845</v>
      </c>
      <c r="C20" s="101">
        <v>72</v>
      </c>
      <c r="E20" s="99">
        <v>59</v>
      </c>
      <c r="F20" s="101">
        <v>2</v>
      </c>
      <c r="G20" s="93"/>
      <c r="H20" s="93"/>
      <c r="I20" s="93"/>
      <c r="J20" s="93"/>
      <c r="L20" s="93"/>
    </row>
    <row r="21" spans="2:12" ht="16.5" customHeight="1">
      <c r="B21" s="111" t="s">
        <v>1847</v>
      </c>
      <c r="C21" s="101">
        <v>71</v>
      </c>
      <c r="E21" s="99">
        <v>69</v>
      </c>
      <c r="F21" s="101">
        <v>2</v>
      </c>
      <c r="G21" s="93"/>
      <c r="H21" s="93"/>
      <c r="I21" s="93"/>
      <c r="J21" s="93"/>
      <c r="L21" s="93"/>
    </row>
    <row r="22" spans="2:12" ht="16.5" customHeight="1">
      <c r="B22" s="111" t="s">
        <v>1848</v>
      </c>
      <c r="C22" s="101">
        <v>68</v>
      </c>
      <c r="E22" s="99">
        <v>79</v>
      </c>
      <c r="F22" s="101">
        <v>5</v>
      </c>
      <c r="G22" s="93"/>
      <c r="H22" s="93"/>
      <c r="I22" s="93"/>
      <c r="J22" s="93"/>
      <c r="K22" s="93"/>
      <c r="L22" s="93"/>
    </row>
    <row r="23" spans="2:12" ht="16.5" customHeight="1">
      <c r="B23" s="111" t="s">
        <v>1849</v>
      </c>
      <c r="C23" s="101">
        <v>70</v>
      </c>
      <c r="E23" s="99">
        <v>89</v>
      </c>
      <c r="F23" s="101">
        <v>2</v>
      </c>
      <c r="G23" s="93"/>
      <c r="H23" s="93"/>
      <c r="I23" s="93"/>
      <c r="J23" s="93"/>
      <c r="K23" s="93"/>
      <c r="L23" s="93"/>
    </row>
    <row r="24" spans="2:12" ht="16.5" customHeight="1">
      <c r="B24" s="111" t="s">
        <v>1850</v>
      </c>
      <c r="C24" s="101">
        <v>85</v>
      </c>
      <c r="E24" s="105"/>
      <c r="F24" s="107">
        <v>1</v>
      </c>
      <c r="G24" s="93"/>
      <c r="H24" s="93"/>
      <c r="I24" s="93"/>
      <c r="J24" s="93"/>
      <c r="K24" s="93"/>
      <c r="L24" s="93"/>
    </row>
    <row r="25" spans="2:12" ht="16.5" customHeight="1">
      <c r="B25" s="111" t="s">
        <v>1851</v>
      </c>
      <c r="C25" s="101">
        <v>61</v>
      </c>
      <c r="E25" s="93"/>
      <c r="F25" s="93"/>
      <c r="G25" s="93"/>
      <c r="H25" s="93"/>
      <c r="I25" s="93"/>
      <c r="J25" s="93"/>
      <c r="K25" s="93"/>
      <c r="L25" s="93"/>
    </row>
    <row r="26" spans="2:12" ht="16.5" customHeight="1">
      <c r="B26" s="111" t="s">
        <v>3597</v>
      </c>
      <c r="C26" s="101">
        <v>98</v>
      </c>
      <c r="E26" s="93"/>
      <c r="F26" s="93"/>
      <c r="G26" s="93"/>
      <c r="H26" s="93"/>
      <c r="I26" s="93"/>
      <c r="J26" s="93"/>
      <c r="K26" s="93"/>
      <c r="L26" s="93"/>
    </row>
    <row r="27" spans="2:12" ht="16.5" customHeight="1">
      <c r="B27" s="111" t="s">
        <v>3598</v>
      </c>
      <c r="C27" s="101">
        <v>52</v>
      </c>
      <c r="E27" s="93"/>
      <c r="F27" s="93"/>
      <c r="G27" s="93"/>
      <c r="H27" s="93"/>
      <c r="I27" s="93"/>
      <c r="J27" s="93"/>
      <c r="K27" s="93"/>
      <c r="L27" s="93"/>
    </row>
    <row r="28" spans="2:12" ht="16.5" customHeight="1">
      <c r="B28" s="111" t="s">
        <v>1852</v>
      </c>
      <c r="C28" s="101">
        <v>74</v>
      </c>
      <c r="F28" s="93"/>
      <c r="G28" s="93"/>
      <c r="H28" s="93"/>
      <c r="J28" s="93"/>
      <c r="K28" s="93"/>
      <c r="L28" s="93"/>
    </row>
    <row r="29" spans="2:12" ht="16.5" customHeight="1">
      <c r="B29" s="111" t="s">
        <v>1853</v>
      </c>
      <c r="C29" s="101">
        <v>81</v>
      </c>
      <c r="F29" s="93"/>
      <c r="G29" s="93"/>
      <c r="H29" s="93"/>
      <c r="I29" s="93"/>
      <c r="J29" s="93"/>
      <c r="K29" s="93"/>
      <c r="L29" s="93"/>
    </row>
    <row r="30" spans="2:12" ht="16.5" customHeight="1">
      <c r="B30" s="151" t="s">
        <v>1854</v>
      </c>
      <c r="C30" s="107">
        <v>75</v>
      </c>
    </row>
    <row r="31" spans="2:12" ht="16.5" customHeight="1"/>
    <row r="32" spans="2:12" ht="16.5" customHeight="1"/>
    <row r="33" s="4" customFormat="1" ht="16.5" customHeight="1"/>
    <row r="34" s="4" customFormat="1" ht="16.5" customHeight="1"/>
    <row r="35" s="4" customFormat="1" ht="16.5" customHeight="1"/>
    <row r="36" s="4" customFormat="1" ht="16.5" customHeight="1"/>
    <row r="37" s="4" customFormat="1" ht="16.5" customHeight="1"/>
    <row r="38" s="4" customFormat="1" ht="16.5" customHeight="1"/>
    <row r="39" s="4" customFormat="1" ht="16.5" customHeight="1"/>
    <row r="40" s="4" customFormat="1" ht="16.5" customHeight="1"/>
    <row r="41" s="4" customFormat="1" ht="16.5" customHeight="1"/>
    <row r="42" s="4" customFormat="1" ht="16.5" customHeight="1"/>
    <row r="43" s="4" customFormat="1" ht="16.5" customHeight="1"/>
    <row r="44" s="4" customFormat="1" ht="16.5" customHeight="1"/>
    <row r="45" s="4" customFormat="1" ht="16.5" customHeight="1"/>
    <row r="46" s="4" customFormat="1" ht="16.5" customHeight="1"/>
    <row r="47" s="4" customFormat="1" ht="16.5" customHeight="1"/>
  </sheetData>
  <mergeCells count="18">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s>
  <phoneticPr fontId="2" type="noConversion"/>
  <pageMargins left="0.75" right="0.75" top="1" bottom="1" header="0.5" footer="0.5"/>
  <pageSetup paperSize="9" orientation="portrait" horizontalDpi="0" verticalDpi="0"/>
  <headerFooter scaleWithDoc="0"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2"/>
  <dimension ref="A1:AV230"/>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431</v>
      </c>
      <c r="B1" s="498"/>
      <c r="C1" s="499"/>
      <c r="D1" s="87"/>
      <c r="E1" s="500" t="str">
        <f>HYPERLINK("#目录!A254","跳转回到目录页")</f>
        <v>跳转回到目录页</v>
      </c>
      <c r="F1" s="501"/>
    </row>
    <row r="2" spans="1:48" s="88" customFormat="1" ht="26.25" customHeight="1">
      <c r="A2" s="502" t="s">
        <v>1216</v>
      </c>
      <c r="B2" s="502"/>
      <c r="C2" s="503" t="s">
        <v>432</v>
      </c>
      <c r="D2" s="503"/>
      <c r="E2" s="503"/>
      <c r="F2" s="503"/>
      <c r="G2" s="503"/>
      <c r="H2" s="503"/>
      <c r="I2" s="503"/>
      <c r="J2" s="503"/>
      <c r="K2" s="503"/>
      <c r="L2" s="503"/>
      <c r="M2" s="503"/>
    </row>
    <row r="3" spans="1:48" s="88" customFormat="1" ht="16.5" customHeight="1">
      <c r="A3" s="496" t="s">
        <v>1217</v>
      </c>
      <c r="B3" s="496"/>
      <c r="C3" s="493" t="s">
        <v>3794</v>
      </c>
      <c r="D3" s="493"/>
      <c r="E3" s="493"/>
      <c r="F3" s="493"/>
      <c r="G3" s="493"/>
      <c r="H3" s="493"/>
      <c r="I3" s="493"/>
      <c r="J3" s="493"/>
      <c r="K3" s="493"/>
      <c r="L3" s="493"/>
      <c r="M3" s="493"/>
    </row>
    <row r="4" spans="1:48" s="88" customFormat="1" ht="16.5" customHeight="1">
      <c r="A4" s="496" t="s">
        <v>5786</v>
      </c>
      <c r="B4" s="496"/>
      <c r="C4" s="497" t="s">
        <v>5812</v>
      </c>
      <c r="D4" s="497"/>
      <c r="E4" s="497"/>
      <c r="F4" s="497"/>
      <c r="G4" s="497"/>
      <c r="H4" s="497"/>
      <c r="I4" s="497"/>
      <c r="J4" s="497"/>
      <c r="K4" s="497"/>
      <c r="L4" s="497"/>
      <c r="M4" s="497"/>
    </row>
    <row r="5" spans="1:48" s="88" customFormat="1" ht="16.5" customHeight="1">
      <c r="A5" s="496" t="s">
        <v>1220</v>
      </c>
      <c r="B5" s="496"/>
      <c r="C5" s="493" t="s">
        <v>3795</v>
      </c>
      <c r="D5" s="493"/>
      <c r="E5" s="493"/>
      <c r="F5" s="493"/>
      <c r="G5" s="493"/>
      <c r="H5" s="493"/>
      <c r="I5" s="493"/>
      <c r="J5" s="493"/>
      <c r="K5" s="493"/>
      <c r="L5" s="493"/>
      <c r="M5" s="493"/>
    </row>
    <row r="6" spans="1:48" s="88" customFormat="1" ht="16.5" customHeight="1">
      <c r="A6" s="496" t="s">
        <v>5785</v>
      </c>
      <c r="B6" s="496"/>
      <c r="C6" s="493" t="s">
        <v>3796</v>
      </c>
      <c r="D6" s="493"/>
      <c r="E6" s="493"/>
      <c r="F6" s="493"/>
      <c r="G6" s="493"/>
      <c r="H6" s="493"/>
      <c r="I6" s="493"/>
      <c r="J6" s="493"/>
      <c r="K6" s="493"/>
      <c r="L6" s="493"/>
      <c r="M6" s="493"/>
    </row>
    <row r="7" spans="1:48" s="88" customFormat="1" ht="16.5" customHeight="1">
      <c r="A7" s="89" t="s">
        <v>1223</v>
      </c>
      <c r="B7" s="92" t="s">
        <v>2568</v>
      </c>
      <c r="C7" s="493" t="s">
        <v>3797</v>
      </c>
      <c r="D7" s="493"/>
      <c r="E7" s="493"/>
      <c r="F7" s="493"/>
      <c r="G7" s="493"/>
      <c r="H7" s="493"/>
      <c r="I7" s="493"/>
      <c r="J7" s="493"/>
      <c r="K7" s="493"/>
      <c r="L7" s="493"/>
      <c r="M7" s="493"/>
    </row>
    <row r="8" spans="1:48" s="88" customFormat="1" ht="16.5" customHeight="1">
      <c r="A8" s="89"/>
      <c r="B8" s="92" t="s">
        <v>3754</v>
      </c>
      <c r="C8" s="493" t="s">
        <v>3798</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53.25" customHeight="1">
      <c r="A11" s="89" t="s">
        <v>1229</v>
      </c>
      <c r="B11" s="493" t="s">
        <v>3799</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F15" s="189"/>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F16" s="189"/>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94" t="s">
        <v>1861</v>
      </c>
      <c r="C17" s="195"/>
      <c r="F17" s="189"/>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1" t="s">
        <v>1246</v>
      </c>
      <c r="C18" s="112" t="s">
        <v>3593</v>
      </c>
      <c r="E18" s="116" t="s">
        <v>3800</v>
      </c>
      <c r="F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1843</v>
      </c>
      <c r="C19" s="177">
        <v>56</v>
      </c>
      <c r="E19" s="93">
        <f>PERCENTILE(C19:C30,0.9)</f>
        <v>84.6</v>
      </c>
      <c r="F19" s="108" t="s">
        <v>3801</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1845</v>
      </c>
      <c r="C20" s="101">
        <v>72</v>
      </c>
      <c r="E20" s="93" t="s">
        <v>3802</v>
      </c>
      <c r="F20" s="18"/>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1847</v>
      </c>
      <c r="C21" s="101">
        <v>71</v>
      </c>
      <c r="F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1848</v>
      </c>
      <c r="C22" s="101">
        <v>68</v>
      </c>
      <c r="F22" s="4" t="s">
        <v>3592</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1849</v>
      </c>
      <c r="C23" s="101">
        <v>70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1850</v>
      </c>
      <c r="C24" s="101">
        <v>85</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1851</v>
      </c>
      <c r="C25" s="101">
        <v>61</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3597</v>
      </c>
      <c r="C26" s="101">
        <v>98</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3598</v>
      </c>
      <c r="C27" s="101">
        <v>52</v>
      </c>
      <c r="F27" s="189"/>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1852</v>
      </c>
      <c r="C28" s="101">
        <v>74</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1" t="s">
        <v>1853</v>
      </c>
      <c r="C29" s="101">
        <v>81</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51" t="s">
        <v>1854</v>
      </c>
      <c r="C30" s="107">
        <v>75</v>
      </c>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433</v>
      </c>
      <c r="B100" s="498"/>
      <c r="C100" s="499"/>
      <c r="D100" s="87"/>
      <c r="E100" s="500" t="str">
        <f>HYPERLINK("#目录!A255","跳转回到目录页")</f>
        <v>跳转回到目录页</v>
      </c>
      <c r="F100" s="501"/>
    </row>
    <row r="101" spans="1:13" s="88" customFormat="1" ht="26.25" customHeight="1">
      <c r="A101" s="502" t="s">
        <v>1216</v>
      </c>
      <c r="B101" s="502"/>
      <c r="C101" s="503" t="s">
        <v>434</v>
      </c>
      <c r="D101" s="503"/>
      <c r="E101" s="503"/>
      <c r="F101" s="503"/>
      <c r="G101" s="503"/>
      <c r="H101" s="503"/>
      <c r="I101" s="503"/>
      <c r="J101" s="503"/>
      <c r="K101" s="503"/>
      <c r="L101" s="503"/>
      <c r="M101" s="503"/>
    </row>
    <row r="102" spans="1:13" s="88" customFormat="1" ht="16.5" customHeight="1">
      <c r="A102" s="496" t="s">
        <v>1217</v>
      </c>
      <c r="B102" s="496"/>
      <c r="C102" s="493" t="s">
        <v>3803</v>
      </c>
      <c r="D102" s="493"/>
      <c r="E102" s="493"/>
      <c r="F102" s="493"/>
      <c r="G102" s="493"/>
      <c r="H102" s="493"/>
      <c r="I102" s="493"/>
      <c r="J102" s="493"/>
      <c r="K102" s="493"/>
      <c r="L102" s="493"/>
      <c r="M102" s="493"/>
    </row>
    <row r="103" spans="1:13" s="88" customFormat="1" ht="16.5" customHeight="1">
      <c r="A103" s="496" t="s">
        <v>5786</v>
      </c>
      <c r="B103" s="496"/>
      <c r="C103" s="497" t="s">
        <v>5813</v>
      </c>
      <c r="D103" s="497"/>
      <c r="E103" s="497"/>
      <c r="F103" s="497"/>
      <c r="G103" s="497"/>
      <c r="H103" s="497"/>
      <c r="I103" s="497"/>
      <c r="J103" s="497"/>
      <c r="K103" s="497"/>
      <c r="L103" s="497"/>
      <c r="M103" s="497"/>
    </row>
    <row r="104" spans="1:13" s="88" customFormat="1" ht="16.5" customHeight="1">
      <c r="A104" s="496" t="s">
        <v>1220</v>
      </c>
      <c r="B104" s="496"/>
      <c r="C104" s="493" t="s">
        <v>3804</v>
      </c>
      <c r="D104" s="493"/>
      <c r="E104" s="493"/>
      <c r="F104" s="493"/>
      <c r="G104" s="493"/>
      <c r="H104" s="493"/>
      <c r="I104" s="493"/>
      <c r="J104" s="493"/>
      <c r="K104" s="493"/>
      <c r="L104" s="493"/>
      <c r="M104" s="493"/>
    </row>
    <row r="105" spans="1:13" s="88" customFormat="1" ht="16.5" customHeight="1">
      <c r="A105" s="496" t="s">
        <v>5785</v>
      </c>
      <c r="B105" s="496"/>
      <c r="C105" s="493" t="s">
        <v>3805</v>
      </c>
      <c r="D105" s="493"/>
      <c r="E105" s="493"/>
      <c r="F105" s="493"/>
      <c r="G105" s="493"/>
      <c r="H105" s="493"/>
      <c r="I105" s="493"/>
      <c r="J105" s="493"/>
      <c r="K105" s="493"/>
      <c r="L105" s="493"/>
      <c r="M105" s="493"/>
    </row>
    <row r="106" spans="1:13" s="88" customFormat="1" ht="16.5" customHeight="1">
      <c r="A106" s="89" t="s">
        <v>1223</v>
      </c>
      <c r="B106" s="92" t="s">
        <v>2568</v>
      </c>
      <c r="C106" s="493" t="s">
        <v>3806</v>
      </c>
      <c r="D106" s="493"/>
      <c r="E106" s="493"/>
      <c r="F106" s="493"/>
      <c r="G106" s="493"/>
      <c r="H106" s="493"/>
      <c r="I106" s="493"/>
      <c r="J106" s="493"/>
      <c r="K106" s="493"/>
      <c r="L106" s="493"/>
      <c r="M106" s="493"/>
    </row>
    <row r="107" spans="1:13" s="88" customFormat="1" ht="16.5" customHeight="1">
      <c r="A107" s="89"/>
      <c r="B107" s="92" t="s">
        <v>3807</v>
      </c>
      <c r="C107" s="493" t="s">
        <v>3808</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49.5" customHeight="1">
      <c r="A110" s="89" t="s">
        <v>1229</v>
      </c>
      <c r="B110" s="493" t="s">
        <v>3809</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2" s="93" customFormat="1" ht="16.5" customHeight="1">
      <c r="A113" s="94" t="s">
        <v>1232</v>
      </c>
      <c r="B113" s="93" t="s">
        <v>1773</v>
      </c>
      <c r="F113" s="189"/>
    </row>
    <row r="114" spans="1:12" ht="16.5" customHeight="1">
      <c r="F114" s="189"/>
    </row>
    <row r="115" spans="1:12" ht="16.5" customHeight="1">
      <c r="B115" s="93" t="s">
        <v>3810</v>
      </c>
      <c r="C115" s="93"/>
      <c r="D115" s="93"/>
      <c r="E115" s="93"/>
      <c r="F115" s="161"/>
      <c r="G115" s="93"/>
      <c r="H115" s="93"/>
      <c r="I115" s="93"/>
      <c r="J115" s="93"/>
      <c r="K115" s="93"/>
      <c r="L115" s="93"/>
    </row>
    <row r="116" spans="1:12" ht="16.5" customHeight="1">
      <c r="B116" s="93">
        <v>0</v>
      </c>
      <c r="C116" s="93" t="s">
        <v>3811</v>
      </c>
      <c r="D116" s="93"/>
      <c r="E116" s="93"/>
      <c r="F116" s="161"/>
      <c r="G116" s="93"/>
      <c r="H116" s="93"/>
      <c r="I116" s="93"/>
      <c r="J116" s="93"/>
      <c r="K116" s="93"/>
      <c r="L116" s="93"/>
    </row>
    <row r="117" spans="1:12" ht="16.5" customHeight="1">
      <c r="B117" s="93">
        <v>1</v>
      </c>
      <c r="C117" s="93" t="s">
        <v>3812</v>
      </c>
      <c r="D117" s="93"/>
      <c r="E117" s="93"/>
      <c r="F117" s="93"/>
      <c r="G117" s="93"/>
      <c r="H117" s="93"/>
      <c r="I117" s="93"/>
      <c r="J117" s="93"/>
      <c r="K117" s="93"/>
      <c r="L117" s="93"/>
    </row>
    <row r="118" spans="1:12" ht="16.5" customHeight="1">
      <c r="B118" s="93">
        <v>2</v>
      </c>
      <c r="C118" s="93" t="s">
        <v>3813</v>
      </c>
      <c r="D118" s="93"/>
      <c r="E118" s="93"/>
      <c r="F118" s="170"/>
      <c r="G118" s="93"/>
      <c r="H118" s="93"/>
      <c r="I118" s="93"/>
      <c r="J118" s="93"/>
      <c r="K118" s="93"/>
      <c r="L118" s="93"/>
    </row>
    <row r="119" spans="1:12" ht="16.5" customHeight="1">
      <c r="B119" s="93">
        <v>3</v>
      </c>
      <c r="C119" s="93" t="s">
        <v>3814</v>
      </c>
      <c r="D119" s="93"/>
      <c r="E119" s="93"/>
      <c r="F119" s="93"/>
      <c r="G119" s="93"/>
      <c r="H119" s="93"/>
      <c r="I119" s="93"/>
      <c r="J119" s="93"/>
      <c r="K119" s="93"/>
      <c r="L119" s="93"/>
    </row>
    <row r="120" spans="1:12" ht="16.5" customHeight="1">
      <c r="B120" s="93">
        <v>4</v>
      </c>
      <c r="C120" s="93" t="s">
        <v>3815</v>
      </c>
      <c r="D120" s="93"/>
      <c r="E120" s="93"/>
      <c r="F120" s="93" t="s">
        <v>3592</v>
      </c>
      <c r="G120" s="93"/>
      <c r="H120" s="93"/>
      <c r="I120" s="93"/>
      <c r="J120" s="93"/>
      <c r="K120" s="93"/>
      <c r="L120" s="93"/>
    </row>
    <row r="121" spans="1:12" ht="16.5" customHeight="1">
      <c r="D121" s="93"/>
      <c r="E121" s="93"/>
      <c r="F121" s="93"/>
      <c r="G121" s="93"/>
      <c r="H121" s="93"/>
      <c r="I121" s="93"/>
      <c r="J121" s="93"/>
      <c r="K121" s="93"/>
      <c r="L121" s="93"/>
    </row>
    <row r="122" spans="1:12" ht="16.5" customHeight="1">
      <c r="B122" s="194" t="s">
        <v>1861</v>
      </c>
      <c r="C122" s="195"/>
      <c r="D122" s="93"/>
      <c r="E122" s="93"/>
      <c r="F122" s="189"/>
      <c r="G122" s="93"/>
      <c r="H122" s="93"/>
      <c r="I122" s="93"/>
      <c r="J122" s="93"/>
      <c r="K122" s="93"/>
      <c r="L122" s="93"/>
    </row>
    <row r="123" spans="1:12" ht="16.5" customHeight="1">
      <c r="B123" s="111" t="s">
        <v>1246</v>
      </c>
      <c r="C123" s="112" t="s">
        <v>3593</v>
      </c>
      <c r="D123" s="93"/>
      <c r="E123" s="116" t="s">
        <v>3816</v>
      </c>
      <c r="F123" s="104" t="s">
        <v>1238</v>
      </c>
      <c r="G123" s="93"/>
      <c r="H123" s="93"/>
      <c r="I123" s="93"/>
      <c r="J123" s="93"/>
      <c r="K123" s="93"/>
      <c r="L123" s="93"/>
    </row>
    <row r="124" spans="1:12" ht="16.5" customHeight="1">
      <c r="B124" s="111" t="s">
        <v>1843</v>
      </c>
      <c r="C124" s="177">
        <v>56</v>
      </c>
      <c r="D124" s="93"/>
      <c r="E124" s="93">
        <f>QUARTILE(C124:C135,1)</f>
        <v>66.25</v>
      </c>
      <c r="F124" s="108" t="s">
        <v>3817</v>
      </c>
      <c r="G124" s="93"/>
      <c r="H124" s="93"/>
      <c r="I124" s="93"/>
      <c r="J124" s="93"/>
      <c r="K124" s="93"/>
      <c r="L124" s="93"/>
    </row>
    <row r="125" spans="1:12" ht="16.5" customHeight="1">
      <c r="B125" s="111" t="s">
        <v>1845</v>
      </c>
      <c r="C125" s="101">
        <v>72</v>
      </c>
      <c r="D125" s="93"/>
      <c r="E125" s="93"/>
      <c r="F125" s="18"/>
    </row>
    <row r="126" spans="1:12" ht="16.5" customHeight="1">
      <c r="B126" s="111" t="s">
        <v>1847</v>
      </c>
      <c r="C126" s="101">
        <v>71</v>
      </c>
      <c r="D126" s="93"/>
      <c r="E126" s="93"/>
    </row>
    <row r="127" spans="1:12" ht="16.5" customHeight="1">
      <c r="B127" s="111" t="s">
        <v>1848</v>
      </c>
      <c r="C127" s="101">
        <v>68</v>
      </c>
      <c r="D127" s="93"/>
      <c r="E127" s="93"/>
      <c r="F127" s="4" t="s">
        <v>3592</v>
      </c>
    </row>
    <row r="128" spans="1:12" ht="16.5" customHeight="1">
      <c r="B128" s="111" t="s">
        <v>1849</v>
      </c>
      <c r="C128" s="101">
        <v>70</v>
      </c>
      <c r="D128" s="93"/>
      <c r="E128" s="93"/>
      <c r="F128" s="93"/>
    </row>
    <row r="129" spans="2:6" ht="16.5" customHeight="1">
      <c r="B129" s="111" t="s">
        <v>1850</v>
      </c>
      <c r="C129" s="101">
        <v>85</v>
      </c>
      <c r="D129" s="93"/>
      <c r="E129" s="93"/>
      <c r="F129" s="93"/>
    </row>
    <row r="130" spans="2:6" ht="16.5" customHeight="1">
      <c r="B130" s="111" t="s">
        <v>1851</v>
      </c>
      <c r="C130" s="101">
        <v>61</v>
      </c>
      <c r="D130" s="93"/>
      <c r="E130" s="93"/>
      <c r="F130" s="93"/>
    </row>
    <row r="131" spans="2:6" ht="16.5" customHeight="1">
      <c r="B131" s="111" t="s">
        <v>3597</v>
      </c>
      <c r="C131" s="101">
        <v>98</v>
      </c>
      <c r="D131" s="93"/>
      <c r="E131" s="93"/>
      <c r="F131" s="93"/>
    </row>
    <row r="132" spans="2:6" ht="16.5" customHeight="1">
      <c r="B132" s="111" t="s">
        <v>3598</v>
      </c>
      <c r="C132" s="101">
        <v>52</v>
      </c>
      <c r="D132" s="93"/>
      <c r="E132" s="93"/>
      <c r="F132" s="189"/>
    </row>
    <row r="133" spans="2:6" ht="16.5" customHeight="1">
      <c r="B133" s="111" t="s">
        <v>1852</v>
      </c>
      <c r="C133" s="101">
        <v>74</v>
      </c>
      <c r="D133" s="93"/>
      <c r="E133" s="93"/>
      <c r="F133" s="93"/>
    </row>
    <row r="134" spans="2:6" ht="16.5" customHeight="1">
      <c r="B134" s="111" t="s">
        <v>1853</v>
      </c>
      <c r="C134" s="101">
        <v>81</v>
      </c>
      <c r="D134" s="93"/>
      <c r="E134" s="93"/>
      <c r="F134" s="93"/>
    </row>
    <row r="135" spans="2:6" ht="16.5" customHeight="1">
      <c r="B135" s="151" t="s">
        <v>1854</v>
      </c>
      <c r="C135" s="107">
        <v>75</v>
      </c>
      <c r="D135" s="93"/>
      <c r="E135" s="93"/>
      <c r="F135" s="93"/>
    </row>
    <row r="136" spans="2:6" ht="16.5" customHeight="1"/>
    <row r="200" spans="1:13" s="88" customFormat="1" ht="26.25" customHeight="1">
      <c r="A200" s="498" t="s">
        <v>435</v>
      </c>
      <c r="B200" s="498"/>
      <c r="C200" s="499"/>
      <c r="D200" s="87"/>
      <c r="E200" s="500" t="str">
        <f>HYPERLINK("#目录!A256","跳转回到目录页")</f>
        <v>跳转回到目录页</v>
      </c>
      <c r="F200" s="501"/>
    </row>
    <row r="201" spans="1:13" s="88" customFormat="1" ht="26.25" customHeight="1">
      <c r="A201" s="502" t="s">
        <v>1216</v>
      </c>
      <c r="B201" s="502"/>
      <c r="C201" s="503" t="s">
        <v>436</v>
      </c>
      <c r="D201" s="503"/>
      <c r="E201" s="503"/>
      <c r="F201" s="503"/>
      <c r="G201" s="503"/>
      <c r="H201" s="503"/>
      <c r="I201" s="503"/>
      <c r="J201" s="503"/>
      <c r="K201" s="503"/>
      <c r="L201" s="503"/>
      <c r="M201" s="503"/>
    </row>
    <row r="202" spans="1:13" s="88" customFormat="1" ht="16.5" customHeight="1">
      <c r="A202" s="496" t="s">
        <v>1217</v>
      </c>
      <c r="B202" s="496"/>
      <c r="C202" s="493" t="s">
        <v>3818</v>
      </c>
      <c r="D202" s="493"/>
      <c r="E202" s="493"/>
      <c r="F202" s="493"/>
      <c r="G202" s="493"/>
      <c r="H202" s="493"/>
      <c r="I202" s="493"/>
      <c r="J202" s="493"/>
      <c r="K202" s="493"/>
      <c r="L202" s="493"/>
      <c r="M202" s="493"/>
    </row>
    <row r="203" spans="1:13" s="88" customFormat="1" ht="16.5" customHeight="1">
      <c r="A203" s="496" t="s">
        <v>5786</v>
      </c>
      <c r="B203" s="496"/>
      <c r="C203" s="497" t="s">
        <v>436</v>
      </c>
      <c r="D203" s="497"/>
      <c r="E203" s="497"/>
      <c r="F203" s="497"/>
      <c r="G203" s="497"/>
      <c r="H203" s="497"/>
      <c r="I203" s="497"/>
      <c r="J203" s="497"/>
      <c r="K203" s="497"/>
      <c r="L203" s="497"/>
      <c r="M203" s="497"/>
    </row>
    <row r="204" spans="1:13" s="88" customFormat="1" ht="16.5" customHeight="1">
      <c r="A204" s="496" t="s">
        <v>1220</v>
      </c>
      <c r="B204" s="496"/>
      <c r="C204" s="493" t="s">
        <v>3819</v>
      </c>
      <c r="D204" s="493"/>
      <c r="E204" s="493"/>
      <c r="F204" s="493"/>
      <c r="G204" s="493"/>
      <c r="H204" s="493"/>
      <c r="I204" s="493"/>
      <c r="J204" s="493"/>
      <c r="K204" s="493"/>
      <c r="L204" s="493"/>
      <c r="M204" s="493"/>
    </row>
    <row r="205" spans="1:13" s="88" customFormat="1" ht="16.5" customHeight="1">
      <c r="A205" s="496" t="s">
        <v>5785</v>
      </c>
      <c r="B205" s="496"/>
      <c r="C205" s="493" t="s">
        <v>3820</v>
      </c>
      <c r="D205" s="493"/>
      <c r="E205" s="493"/>
      <c r="F205" s="493"/>
      <c r="G205" s="493"/>
      <c r="H205" s="493"/>
      <c r="I205" s="493"/>
      <c r="J205" s="493"/>
      <c r="K205" s="493"/>
      <c r="L205" s="493"/>
      <c r="M205" s="493"/>
    </row>
    <row r="206" spans="1:13" s="88" customFormat="1" ht="16.5" customHeight="1">
      <c r="A206" s="89" t="s">
        <v>1223</v>
      </c>
      <c r="B206" s="92" t="s">
        <v>2568</v>
      </c>
      <c r="C206" s="493" t="s">
        <v>3821</v>
      </c>
      <c r="D206" s="493"/>
      <c r="E206" s="493"/>
      <c r="F206" s="493"/>
      <c r="G206" s="493"/>
      <c r="H206" s="493"/>
      <c r="I206" s="493"/>
      <c r="J206" s="493"/>
      <c r="K206" s="493"/>
      <c r="L206" s="493"/>
      <c r="M206" s="493"/>
    </row>
    <row r="207" spans="1:13" s="88" customFormat="1" ht="16.5" customHeight="1">
      <c r="A207" s="89"/>
      <c r="B207" s="92" t="s">
        <v>2418</v>
      </c>
      <c r="C207" s="493" t="s">
        <v>3822</v>
      </c>
      <c r="D207" s="493"/>
      <c r="E207" s="493"/>
      <c r="F207" s="493"/>
      <c r="G207" s="493"/>
      <c r="H207" s="493"/>
      <c r="I207" s="493"/>
      <c r="J207" s="493"/>
      <c r="K207" s="493"/>
      <c r="L207" s="493"/>
      <c r="M207" s="493"/>
    </row>
    <row r="208" spans="1:13" s="88" customFormat="1" ht="24.75" customHeight="1">
      <c r="A208" s="89"/>
      <c r="B208" s="90" t="s">
        <v>3823</v>
      </c>
      <c r="C208" s="493" t="s">
        <v>3824</v>
      </c>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38.25" customHeight="1">
      <c r="A210" s="89" t="s">
        <v>1229</v>
      </c>
      <c r="B210" s="493" t="s">
        <v>3825</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B214" s="93"/>
      <c r="C214" s="93"/>
      <c r="D214" s="93"/>
      <c r="E214" s="161"/>
      <c r="F214" s="93"/>
      <c r="G214" s="93"/>
      <c r="H214" s="93"/>
      <c r="I214" s="93"/>
      <c r="J214" s="93"/>
      <c r="K214" s="93"/>
      <c r="L214" s="93"/>
    </row>
    <row r="215" spans="1:13" ht="16.5" customHeight="1">
      <c r="B215" s="93"/>
      <c r="C215" s="93"/>
      <c r="D215" s="93"/>
      <c r="E215" s="161"/>
      <c r="F215" s="93"/>
      <c r="G215" s="93"/>
      <c r="H215" s="93"/>
      <c r="I215" s="93"/>
      <c r="J215" s="93"/>
      <c r="K215" s="93"/>
      <c r="L215" s="93"/>
    </row>
    <row r="216" spans="1:13" ht="16.5" customHeight="1">
      <c r="B216" s="187" t="s">
        <v>3826</v>
      </c>
      <c r="C216" s="138"/>
      <c r="D216" s="93"/>
      <c r="E216" s="161"/>
      <c r="F216" s="93"/>
      <c r="G216" s="93"/>
      <c r="H216" s="93"/>
      <c r="I216" s="93"/>
      <c r="J216" s="93"/>
      <c r="K216" s="93"/>
      <c r="L216" s="93"/>
    </row>
    <row r="217" spans="1:13" ht="16.5" customHeight="1">
      <c r="B217" s="111" t="s">
        <v>1246</v>
      </c>
      <c r="C217" s="112" t="s">
        <v>3593</v>
      </c>
      <c r="D217" s="93" t="s">
        <v>3827</v>
      </c>
      <c r="E217" s="93"/>
      <c r="F217" s="93"/>
      <c r="G217" s="93"/>
      <c r="H217" s="93"/>
      <c r="I217" s="93"/>
      <c r="J217" s="93"/>
      <c r="K217" s="93"/>
      <c r="L217" s="93"/>
    </row>
    <row r="218" spans="1:13" ht="16.5" customHeight="1">
      <c r="B218" s="111" t="s">
        <v>1843</v>
      </c>
      <c r="C218" s="101">
        <v>56</v>
      </c>
      <c r="D218" s="162">
        <f>PERCENTRANK($C$218:$C$229,C218,)</f>
        <v>0.09</v>
      </c>
      <c r="E218" s="104" t="s">
        <v>1238</v>
      </c>
      <c r="F218" s="93"/>
      <c r="G218" s="93"/>
      <c r="H218" s="93"/>
      <c r="I218" s="93"/>
      <c r="J218" s="93"/>
      <c r="K218" s="93"/>
      <c r="L218" s="93"/>
    </row>
    <row r="219" spans="1:13" ht="16.5" customHeight="1">
      <c r="B219" s="111" t="s">
        <v>1845</v>
      </c>
      <c r="C219" s="101">
        <v>72</v>
      </c>
      <c r="D219" s="162">
        <f>PERCENTRANK($C$218:$C$229,C219,)</f>
        <v>0.54500000000000004</v>
      </c>
      <c r="E219" s="108" t="s">
        <v>3828</v>
      </c>
      <c r="F219" s="93"/>
      <c r="G219" s="93"/>
      <c r="H219" s="93"/>
      <c r="I219" s="93"/>
      <c r="J219" s="93"/>
      <c r="K219" s="93"/>
      <c r="L219" s="93"/>
    </row>
    <row r="220" spans="1:13" ht="16.5" customHeight="1">
      <c r="B220" s="111" t="s">
        <v>1847</v>
      </c>
      <c r="C220" s="101">
        <v>71</v>
      </c>
      <c r="D220" s="162">
        <f t="shared" ref="D220:D229" si="0">PERCENTRANK($C$218:$C$229,C220,)</f>
        <v>0.45400000000000001</v>
      </c>
      <c r="E220" s="93"/>
      <c r="F220" s="93"/>
      <c r="G220" s="93"/>
      <c r="H220" s="93"/>
      <c r="I220" s="93"/>
      <c r="J220" s="93"/>
      <c r="K220" s="93"/>
      <c r="L220" s="93"/>
    </row>
    <row r="221" spans="1:13" ht="16.5" customHeight="1">
      <c r="B221" s="111" t="s">
        <v>1848</v>
      </c>
      <c r="C221" s="101">
        <v>68</v>
      </c>
      <c r="D221" s="162">
        <f t="shared" si="0"/>
        <v>0.27200000000000002</v>
      </c>
      <c r="E221" s="93"/>
      <c r="F221" s="93"/>
      <c r="G221" s="93"/>
      <c r="H221" s="93"/>
      <c r="I221" s="93"/>
      <c r="J221" s="93"/>
      <c r="K221" s="93"/>
      <c r="L221" s="93"/>
    </row>
    <row r="222" spans="1:13" ht="16.5" customHeight="1">
      <c r="B222" s="111" t="s">
        <v>1849</v>
      </c>
      <c r="C222" s="101">
        <v>70</v>
      </c>
      <c r="D222" s="162">
        <f t="shared" si="0"/>
        <v>0.36299999999999999</v>
      </c>
      <c r="E222" s="93"/>
      <c r="F222" s="93"/>
      <c r="G222" s="93"/>
      <c r="H222" s="93"/>
      <c r="I222" s="93"/>
      <c r="J222" s="93"/>
      <c r="K222" s="93"/>
      <c r="L222" s="93"/>
    </row>
    <row r="223" spans="1:13" ht="16.5" customHeight="1">
      <c r="B223" s="111" t="s">
        <v>1850</v>
      </c>
      <c r="C223" s="101">
        <v>85</v>
      </c>
      <c r="D223" s="162">
        <f t="shared" si="0"/>
        <v>0.90900000000000003</v>
      </c>
      <c r="E223" s="93"/>
      <c r="F223" s="93"/>
      <c r="G223" s="93"/>
      <c r="H223" s="93"/>
      <c r="I223" s="93"/>
      <c r="J223" s="93"/>
      <c r="K223" s="93"/>
      <c r="L223" s="93"/>
    </row>
    <row r="224" spans="1:13" ht="16.5" customHeight="1">
      <c r="B224" s="111" t="s">
        <v>1851</v>
      </c>
      <c r="C224" s="101">
        <v>61</v>
      </c>
      <c r="D224" s="162">
        <f t="shared" si="0"/>
        <v>0.18099999999999999</v>
      </c>
      <c r="E224" s="93"/>
      <c r="F224" s="93"/>
      <c r="G224" s="93"/>
      <c r="H224" s="93"/>
      <c r="I224" s="93"/>
      <c r="J224" s="93"/>
      <c r="K224" s="93"/>
      <c r="L224" s="93"/>
    </row>
    <row r="225" spans="2:12" ht="16.5" customHeight="1">
      <c r="B225" s="111" t="s">
        <v>3597</v>
      </c>
      <c r="C225" s="101">
        <v>98</v>
      </c>
      <c r="D225" s="162">
        <f t="shared" si="0"/>
        <v>1</v>
      </c>
      <c r="E225" s="93"/>
      <c r="F225" s="93"/>
      <c r="G225" s="93"/>
      <c r="H225" s="93"/>
      <c r="I225" s="93"/>
      <c r="J225" s="93"/>
      <c r="K225" s="93"/>
      <c r="L225" s="93"/>
    </row>
    <row r="226" spans="2:12" ht="16.5" customHeight="1">
      <c r="B226" s="111" t="s">
        <v>3598</v>
      </c>
      <c r="C226" s="101">
        <v>52</v>
      </c>
      <c r="D226" s="162">
        <f t="shared" si="0"/>
        <v>0</v>
      </c>
      <c r="E226" s="170"/>
      <c r="F226" s="93"/>
      <c r="G226" s="93"/>
      <c r="H226" s="93"/>
      <c r="I226" s="93"/>
      <c r="J226" s="93"/>
      <c r="K226" s="93"/>
      <c r="L226" s="93"/>
    </row>
    <row r="227" spans="2:12" ht="16.5" customHeight="1">
      <c r="B227" s="111" t="s">
        <v>1852</v>
      </c>
      <c r="C227" s="101">
        <v>74</v>
      </c>
      <c r="D227" s="162">
        <f t="shared" si="0"/>
        <v>0.63600000000000001</v>
      </c>
      <c r="E227" s="161"/>
      <c r="F227" s="93"/>
      <c r="G227" s="93"/>
      <c r="H227" s="93"/>
      <c r="I227" s="93"/>
      <c r="J227" s="93"/>
      <c r="K227" s="93"/>
      <c r="L227" s="93"/>
    </row>
    <row r="228" spans="2:12" ht="16.5" customHeight="1">
      <c r="B228" s="111" t="s">
        <v>1853</v>
      </c>
      <c r="C228" s="101">
        <v>81</v>
      </c>
      <c r="D228" s="162">
        <f t="shared" si="0"/>
        <v>0.81799999999999995</v>
      </c>
      <c r="E228" s="93"/>
      <c r="F228" s="93"/>
      <c r="G228" s="93"/>
      <c r="H228" s="93"/>
      <c r="I228" s="93"/>
      <c r="J228" s="93"/>
      <c r="K228" s="93"/>
      <c r="L228" s="93"/>
    </row>
    <row r="229" spans="2:12" ht="16.5" customHeight="1">
      <c r="B229" s="151" t="s">
        <v>1854</v>
      </c>
      <c r="C229" s="107">
        <v>75</v>
      </c>
      <c r="D229" s="162">
        <f t="shared" si="0"/>
        <v>0.72699999999999998</v>
      </c>
      <c r="E229" s="93"/>
      <c r="F229" s="93"/>
      <c r="G229" s="93"/>
      <c r="H229" s="93"/>
      <c r="I229" s="93"/>
      <c r="J229" s="93"/>
      <c r="K229" s="93"/>
      <c r="L229" s="93"/>
    </row>
    <row r="230" spans="2:12" ht="16.5" customHeight="1"/>
  </sheetData>
  <mergeCells count="54">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headerFooter scaleWithDoc="0"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3"/>
  <dimension ref="A1:AV331"/>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438</v>
      </c>
      <c r="B1" s="498"/>
      <c r="C1" s="499"/>
      <c r="D1" s="87"/>
      <c r="E1" s="500" t="str">
        <f>HYPERLINK("#目录!A258","跳转回到目录页")</f>
        <v>跳转回到目录页</v>
      </c>
      <c r="F1" s="501"/>
    </row>
    <row r="2" spans="1:48" s="88" customFormat="1" ht="26.25" customHeight="1">
      <c r="A2" s="502" t="s">
        <v>1216</v>
      </c>
      <c r="B2" s="502"/>
      <c r="C2" s="503" t="s">
        <v>439</v>
      </c>
      <c r="D2" s="503"/>
      <c r="E2" s="503"/>
      <c r="F2" s="503"/>
      <c r="G2" s="503"/>
      <c r="H2" s="503"/>
      <c r="I2" s="503"/>
      <c r="J2" s="503"/>
      <c r="K2" s="503"/>
      <c r="L2" s="503"/>
      <c r="M2" s="503"/>
    </row>
    <row r="3" spans="1:48" s="88" customFormat="1" ht="16.5" customHeight="1">
      <c r="A3" s="496" t="s">
        <v>1217</v>
      </c>
      <c r="B3" s="496"/>
      <c r="C3" s="493" t="s">
        <v>3829</v>
      </c>
      <c r="D3" s="493"/>
      <c r="E3" s="493"/>
      <c r="F3" s="493"/>
      <c r="G3" s="493"/>
      <c r="H3" s="493"/>
      <c r="I3" s="493"/>
      <c r="J3" s="493"/>
      <c r="K3" s="493"/>
      <c r="L3" s="493"/>
      <c r="M3" s="493"/>
    </row>
    <row r="4" spans="1:48" s="88" customFormat="1" ht="16.5" customHeight="1">
      <c r="A4" s="496" t="s">
        <v>5786</v>
      </c>
      <c r="B4" s="496"/>
      <c r="C4" s="497" t="s">
        <v>3830</v>
      </c>
      <c r="D4" s="497"/>
      <c r="E4" s="497"/>
      <c r="F4" s="497"/>
      <c r="G4" s="497"/>
      <c r="H4" s="497"/>
      <c r="I4" s="497"/>
      <c r="J4" s="497"/>
      <c r="K4" s="497"/>
      <c r="L4" s="497"/>
      <c r="M4" s="497"/>
    </row>
    <row r="5" spans="1:48" s="88" customFormat="1" ht="16.5" customHeight="1">
      <c r="A5" s="496" t="s">
        <v>1220</v>
      </c>
      <c r="B5" s="496"/>
      <c r="C5" s="493" t="s">
        <v>3831</v>
      </c>
      <c r="D5" s="493"/>
      <c r="E5" s="493"/>
      <c r="F5" s="493"/>
      <c r="G5" s="493"/>
      <c r="H5" s="493"/>
      <c r="I5" s="493"/>
      <c r="J5" s="493"/>
      <c r="K5" s="493"/>
      <c r="L5" s="493"/>
      <c r="M5" s="493"/>
    </row>
    <row r="6" spans="1:48" s="88" customFormat="1" ht="16.5" customHeight="1">
      <c r="A6" s="496" t="s">
        <v>5785</v>
      </c>
      <c r="B6" s="496"/>
      <c r="C6" s="493" t="s">
        <v>3832</v>
      </c>
      <c r="D6" s="493"/>
      <c r="E6" s="493"/>
      <c r="F6" s="493"/>
      <c r="G6" s="493"/>
      <c r="H6" s="493"/>
      <c r="I6" s="493"/>
      <c r="J6" s="493"/>
      <c r="K6" s="493"/>
      <c r="L6" s="493"/>
      <c r="M6" s="493"/>
    </row>
    <row r="7" spans="1:48" s="88" customFormat="1" ht="16.5" customHeight="1">
      <c r="A7" s="89" t="s">
        <v>1223</v>
      </c>
      <c r="B7" s="92" t="s">
        <v>2200</v>
      </c>
      <c r="C7" s="493" t="s">
        <v>3833</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73.5" customHeight="1">
      <c r="A11" s="89" t="s">
        <v>1229</v>
      </c>
      <c r="B11" s="673" t="s">
        <v>3834</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G15" s="4"/>
      <c r="H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G16" s="4"/>
      <c r="H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87" t="s">
        <v>3826</v>
      </c>
      <c r="C17" s="138"/>
      <c r="G17" s="4"/>
      <c r="H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1" t="s">
        <v>1246</v>
      </c>
      <c r="C18" s="112" t="s">
        <v>3593</v>
      </c>
      <c r="E18" s="94" t="s">
        <v>3835</v>
      </c>
      <c r="F18" s="104" t="s">
        <v>1238</v>
      </c>
      <c r="G18" s="4"/>
      <c r="H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1843</v>
      </c>
      <c r="C19" s="101">
        <v>56</v>
      </c>
      <c r="E19" s="93">
        <f>VAR(C19:C30)</f>
        <v>157.90151515151493</v>
      </c>
      <c r="F19" s="108" t="s">
        <v>3836</v>
      </c>
      <c r="G19" s="4"/>
      <c r="H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1845</v>
      </c>
      <c r="C20" s="101">
        <v>72</v>
      </c>
      <c r="G20" s="4"/>
      <c r="H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1847</v>
      </c>
      <c r="C21" s="101">
        <v>71</v>
      </c>
      <c r="G21" s="4"/>
      <c r="H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1848</v>
      </c>
      <c r="C22" s="101">
        <v>68</v>
      </c>
      <c r="G22" s="4"/>
      <c r="H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1849</v>
      </c>
      <c r="C23" s="101">
        <v>70</v>
      </c>
      <c r="G23" s="4"/>
      <c r="H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1850</v>
      </c>
      <c r="C24" s="101">
        <v>85</v>
      </c>
      <c r="G24" s="4"/>
      <c r="H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1851</v>
      </c>
      <c r="C25" s="101">
        <v>61</v>
      </c>
      <c r="G25" s="4"/>
      <c r="H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3597</v>
      </c>
      <c r="C26" s="101">
        <v>98</v>
      </c>
      <c r="G26" s="4"/>
      <c r="H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3598</v>
      </c>
      <c r="C27" s="101">
        <v>52</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1852</v>
      </c>
      <c r="C28" s="101">
        <v>74</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1" t="s">
        <v>1853</v>
      </c>
      <c r="C29" s="101">
        <v>81</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51" t="s">
        <v>1854</v>
      </c>
      <c r="C30" s="107">
        <v>75</v>
      </c>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440</v>
      </c>
      <c r="B100" s="498"/>
      <c r="C100" s="499"/>
      <c r="D100" s="87"/>
      <c r="E100" s="500" t="str">
        <f>HYPERLINK("#目录!A259","跳转回到目录页")</f>
        <v>跳转回到目录页</v>
      </c>
      <c r="F100" s="501"/>
    </row>
    <row r="101" spans="1:13" s="88" customFormat="1" ht="26.25" customHeight="1">
      <c r="A101" s="502" t="s">
        <v>1216</v>
      </c>
      <c r="B101" s="502"/>
      <c r="C101" s="503" t="s">
        <v>441</v>
      </c>
      <c r="D101" s="503"/>
      <c r="E101" s="503"/>
      <c r="F101" s="503"/>
      <c r="G101" s="503"/>
      <c r="H101" s="503"/>
      <c r="I101" s="503"/>
      <c r="J101" s="503"/>
      <c r="K101" s="503"/>
      <c r="L101" s="503"/>
      <c r="M101" s="503"/>
    </row>
    <row r="102" spans="1:13" s="88" customFormat="1" ht="16.5" customHeight="1">
      <c r="A102" s="496" t="s">
        <v>1217</v>
      </c>
      <c r="B102" s="496"/>
      <c r="C102" s="493" t="s">
        <v>3837</v>
      </c>
      <c r="D102" s="493"/>
      <c r="E102" s="493"/>
      <c r="F102" s="493"/>
      <c r="G102" s="493"/>
      <c r="H102" s="493"/>
      <c r="I102" s="493"/>
      <c r="J102" s="493"/>
      <c r="K102" s="493"/>
      <c r="L102" s="493"/>
      <c r="M102" s="493"/>
    </row>
    <row r="103" spans="1:13" s="88" customFormat="1" ht="16.5" customHeight="1">
      <c r="A103" s="496" t="s">
        <v>5786</v>
      </c>
      <c r="B103" s="496"/>
      <c r="C103" s="497" t="s">
        <v>3838</v>
      </c>
      <c r="D103" s="497"/>
      <c r="E103" s="497"/>
      <c r="F103" s="497"/>
      <c r="G103" s="497"/>
      <c r="H103" s="497"/>
      <c r="I103" s="497"/>
      <c r="J103" s="497"/>
      <c r="K103" s="497"/>
      <c r="L103" s="497"/>
      <c r="M103" s="497"/>
    </row>
    <row r="104" spans="1:13" s="88" customFormat="1" ht="16.5" customHeight="1">
      <c r="A104" s="496" t="s">
        <v>1220</v>
      </c>
      <c r="B104" s="496"/>
      <c r="C104" s="493" t="s">
        <v>3839</v>
      </c>
      <c r="D104" s="493"/>
      <c r="E104" s="493"/>
      <c r="F104" s="493"/>
      <c r="G104" s="493"/>
      <c r="H104" s="493"/>
      <c r="I104" s="493"/>
      <c r="J104" s="493"/>
      <c r="K104" s="493"/>
      <c r="L104" s="493"/>
      <c r="M104" s="493"/>
    </row>
    <row r="105" spans="1:13" s="88" customFormat="1" ht="16.5" customHeight="1">
      <c r="A105" s="496" t="s">
        <v>5785</v>
      </c>
      <c r="B105" s="496"/>
      <c r="C105" s="493" t="s">
        <v>3840</v>
      </c>
      <c r="D105" s="493"/>
      <c r="E105" s="493"/>
      <c r="F105" s="493"/>
      <c r="G105" s="493"/>
      <c r="H105" s="493"/>
      <c r="I105" s="493"/>
      <c r="J105" s="493"/>
      <c r="K105" s="493"/>
      <c r="L105" s="493"/>
      <c r="M105" s="493"/>
    </row>
    <row r="106" spans="1:13" s="88" customFormat="1" ht="16.5" customHeight="1">
      <c r="A106" s="89" t="s">
        <v>1223</v>
      </c>
      <c r="B106" s="92" t="s">
        <v>3299</v>
      </c>
      <c r="C106" s="493" t="s">
        <v>3841</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72.75" customHeight="1">
      <c r="A110" s="89" t="s">
        <v>1229</v>
      </c>
      <c r="B110" s="673" t="s">
        <v>3842</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11" s="93" customFormat="1" ht="16.5" customHeight="1">
      <c r="A113" s="94" t="s">
        <v>1232</v>
      </c>
      <c r="B113" s="93" t="s">
        <v>1773</v>
      </c>
    </row>
    <row r="114" spans="1:11" ht="16.5" customHeight="1">
      <c r="B114" s="93"/>
      <c r="C114" s="93"/>
      <c r="D114" s="93"/>
      <c r="E114" s="93"/>
      <c r="F114" s="93"/>
      <c r="G114" s="93"/>
      <c r="H114" s="93"/>
      <c r="I114" s="93"/>
      <c r="J114" s="93"/>
      <c r="K114" s="93"/>
    </row>
    <row r="115" spans="1:11" ht="16.5" customHeight="1">
      <c r="B115" s="192" t="s">
        <v>3709</v>
      </c>
      <c r="C115" s="192"/>
      <c r="D115" s="93"/>
      <c r="E115" s="93"/>
      <c r="F115" s="93"/>
      <c r="G115" s="93"/>
      <c r="H115" s="93"/>
      <c r="I115" s="93"/>
      <c r="J115" s="93"/>
      <c r="K115" s="93"/>
    </row>
    <row r="116" spans="1:11" ht="16.5" customHeight="1">
      <c r="B116" s="95" t="s">
        <v>1246</v>
      </c>
      <c r="C116" s="97" t="s">
        <v>3710</v>
      </c>
      <c r="D116" s="93"/>
      <c r="E116" s="93"/>
      <c r="F116" s="93"/>
      <c r="G116" s="93"/>
      <c r="H116" s="93"/>
      <c r="I116" s="93"/>
      <c r="J116" s="93"/>
      <c r="K116" s="93"/>
    </row>
    <row r="117" spans="1:11" ht="16.5" customHeight="1">
      <c r="B117" s="111" t="s">
        <v>1375</v>
      </c>
      <c r="C117" s="112"/>
      <c r="D117" s="93"/>
      <c r="E117" s="94" t="s">
        <v>3835</v>
      </c>
      <c r="F117" s="104" t="s">
        <v>1238</v>
      </c>
      <c r="G117" s="93"/>
      <c r="H117" s="93"/>
      <c r="I117" s="93"/>
      <c r="J117" s="93"/>
      <c r="K117" s="93"/>
    </row>
    <row r="118" spans="1:11" ht="16.5" customHeight="1">
      <c r="B118" s="111" t="s">
        <v>1843</v>
      </c>
      <c r="C118" s="112">
        <v>3</v>
      </c>
      <c r="D118" s="93"/>
      <c r="E118" s="93">
        <f>VARA(C118:C129)</f>
        <v>6.5151515151515147</v>
      </c>
      <c r="F118" s="108" t="s">
        <v>3843</v>
      </c>
      <c r="G118" s="93"/>
      <c r="H118" s="93"/>
      <c r="I118" s="93"/>
      <c r="J118" s="93"/>
      <c r="K118" s="93"/>
    </row>
    <row r="119" spans="1:11" ht="16.5" customHeight="1">
      <c r="B119" s="111" t="s">
        <v>1845</v>
      </c>
      <c r="C119" s="112">
        <v>4</v>
      </c>
      <c r="D119" s="93"/>
      <c r="E119" s="93"/>
      <c r="F119" s="93"/>
      <c r="G119" s="93"/>
      <c r="H119" s="93"/>
      <c r="I119" s="93"/>
      <c r="J119" s="93"/>
      <c r="K119" s="93"/>
    </row>
    <row r="120" spans="1:11" ht="16.5" customHeight="1">
      <c r="B120" s="111" t="s">
        <v>1847</v>
      </c>
      <c r="C120" s="112">
        <v>5</v>
      </c>
      <c r="D120" s="93"/>
      <c r="E120" s="93"/>
      <c r="F120" s="93"/>
      <c r="G120" s="93"/>
      <c r="H120" s="93"/>
      <c r="I120" s="93"/>
      <c r="J120" s="93"/>
      <c r="K120" s="93"/>
    </row>
    <row r="121" spans="1:11" ht="16.5" customHeight="1">
      <c r="B121" s="111" t="s">
        <v>1848</v>
      </c>
      <c r="C121" s="112">
        <v>8</v>
      </c>
      <c r="D121" s="93"/>
      <c r="E121" s="93"/>
      <c r="F121" s="93"/>
      <c r="G121" s="93"/>
      <c r="H121" s="93"/>
      <c r="I121" s="93"/>
      <c r="J121" s="93"/>
      <c r="K121" s="93"/>
    </row>
    <row r="122" spans="1:11" ht="16.5" customHeight="1">
      <c r="B122" s="111" t="s">
        <v>1849</v>
      </c>
      <c r="C122" s="112">
        <v>2</v>
      </c>
      <c r="D122" s="93"/>
      <c r="E122" s="93"/>
      <c r="F122" s="93"/>
      <c r="G122" s="93"/>
      <c r="H122" s="93"/>
      <c r="I122" s="93"/>
      <c r="J122" s="93"/>
      <c r="K122" s="93"/>
    </row>
    <row r="123" spans="1:11" ht="16.5" customHeight="1">
      <c r="B123" s="111" t="s">
        <v>1850</v>
      </c>
      <c r="C123" s="112" t="s">
        <v>3844</v>
      </c>
      <c r="D123" s="93"/>
      <c r="E123" s="93"/>
      <c r="F123" s="93"/>
      <c r="G123" s="93"/>
      <c r="H123" s="93"/>
      <c r="I123" s="93"/>
      <c r="J123" s="93"/>
      <c r="K123" s="93"/>
    </row>
    <row r="124" spans="1:11" ht="16.5" customHeight="1">
      <c r="B124" s="111" t="s">
        <v>1851</v>
      </c>
      <c r="C124" s="112">
        <v>8</v>
      </c>
      <c r="D124" s="93"/>
      <c r="E124" s="93"/>
      <c r="F124" s="93"/>
      <c r="G124" s="93"/>
      <c r="H124" s="93"/>
      <c r="I124" s="93"/>
      <c r="J124" s="93"/>
      <c r="K124" s="93"/>
    </row>
    <row r="125" spans="1:11" ht="16.5" customHeight="1">
      <c r="B125" s="111" t="s">
        <v>3597</v>
      </c>
      <c r="C125" s="112">
        <v>3</v>
      </c>
      <c r="D125" s="93"/>
      <c r="E125" s="93"/>
      <c r="F125" s="93"/>
      <c r="G125" s="93"/>
      <c r="H125" s="93"/>
      <c r="I125" s="93"/>
      <c r="J125" s="93"/>
      <c r="K125" s="93"/>
    </row>
    <row r="126" spans="1:11" ht="16.5" customHeight="1">
      <c r="B126" s="111" t="s">
        <v>3598</v>
      </c>
      <c r="C126" s="112">
        <v>6</v>
      </c>
      <c r="D126" s="93"/>
      <c r="E126" s="93"/>
      <c r="F126" s="93"/>
      <c r="G126" s="93"/>
      <c r="H126" s="93"/>
      <c r="I126" s="93"/>
      <c r="J126" s="93"/>
      <c r="K126" s="93"/>
    </row>
    <row r="127" spans="1:11" ht="16.5" customHeight="1">
      <c r="B127" s="111" t="s">
        <v>1852</v>
      </c>
      <c r="C127" s="112">
        <v>4</v>
      </c>
      <c r="D127" s="93"/>
      <c r="E127" s="93"/>
      <c r="F127" s="93"/>
      <c r="G127" s="93"/>
      <c r="H127" s="93"/>
      <c r="I127" s="93"/>
      <c r="J127" s="93"/>
      <c r="K127" s="93"/>
    </row>
    <row r="128" spans="1:11" ht="16.5" customHeight="1">
      <c r="B128" s="111" t="s">
        <v>1853</v>
      </c>
      <c r="C128" s="112">
        <v>2</v>
      </c>
      <c r="D128" s="93"/>
      <c r="E128" s="93"/>
      <c r="F128" s="93"/>
      <c r="G128" s="93"/>
      <c r="H128" s="93"/>
      <c r="I128" s="93"/>
      <c r="J128" s="93"/>
      <c r="K128" s="93"/>
    </row>
    <row r="129" spans="2:3">
      <c r="B129" s="111" t="s">
        <v>1854</v>
      </c>
      <c r="C129" s="112">
        <v>1</v>
      </c>
    </row>
    <row r="130" spans="2:3">
      <c r="B130" s="151" t="s">
        <v>1375</v>
      </c>
      <c r="C130" s="193"/>
    </row>
    <row r="200" spans="1:13" s="88" customFormat="1" ht="26.25" customHeight="1">
      <c r="A200" s="498" t="s">
        <v>442</v>
      </c>
      <c r="B200" s="498"/>
      <c r="C200" s="499"/>
      <c r="D200" s="87"/>
      <c r="E200" s="500" t="str">
        <f>HYPERLINK("#目录!A260","跳转回到目录页")</f>
        <v>跳转回到目录页</v>
      </c>
      <c r="F200" s="501"/>
    </row>
    <row r="201" spans="1:13" s="88" customFormat="1" ht="26.25" customHeight="1">
      <c r="A201" s="502" t="s">
        <v>1216</v>
      </c>
      <c r="B201" s="502"/>
      <c r="C201" s="503" t="s">
        <v>443</v>
      </c>
      <c r="D201" s="503"/>
      <c r="E201" s="503"/>
      <c r="F201" s="503"/>
      <c r="G201" s="503"/>
      <c r="H201" s="503"/>
      <c r="I201" s="503"/>
      <c r="J201" s="503"/>
      <c r="K201" s="503"/>
      <c r="L201" s="503"/>
      <c r="M201" s="503"/>
    </row>
    <row r="202" spans="1:13" s="88" customFormat="1" ht="16.5" customHeight="1">
      <c r="A202" s="496" t="s">
        <v>1217</v>
      </c>
      <c r="B202" s="496"/>
      <c r="C202" s="493" t="s">
        <v>3845</v>
      </c>
      <c r="D202" s="493"/>
      <c r="E202" s="493"/>
      <c r="F202" s="493"/>
      <c r="G202" s="493"/>
      <c r="H202" s="493"/>
      <c r="I202" s="493"/>
      <c r="J202" s="493"/>
      <c r="K202" s="493"/>
      <c r="L202" s="493"/>
      <c r="M202" s="493"/>
    </row>
    <row r="203" spans="1:13" s="88" customFormat="1" ht="16.5" customHeight="1">
      <c r="A203" s="496" t="s">
        <v>5786</v>
      </c>
      <c r="B203" s="496"/>
      <c r="C203" s="497" t="s">
        <v>443</v>
      </c>
      <c r="D203" s="497"/>
      <c r="E203" s="497"/>
      <c r="F203" s="497"/>
      <c r="G203" s="497"/>
      <c r="H203" s="497"/>
      <c r="I203" s="497"/>
      <c r="J203" s="497"/>
      <c r="K203" s="497"/>
      <c r="L203" s="497"/>
      <c r="M203" s="497"/>
    </row>
    <row r="204" spans="1:13" s="88" customFormat="1" ht="16.5" customHeight="1">
      <c r="A204" s="496" t="s">
        <v>1220</v>
      </c>
      <c r="B204" s="496"/>
      <c r="C204" s="493" t="s">
        <v>3846</v>
      </c>
      <c r="D204" s="493"/>
      <c r="E204" s="493"/>
      <c r="F204" s="493"/>
      <c r="G204" s="493"/>
      <c r="H204" s="493"/>
      <c r="I204" s="493"/>
      <c r="J204" s="493"/>
      <c r="K204" s="493"/>
      <c r="L204" s="493"/>
      <c r="M204" s="493"/>
    </row>
    <row r="205" spans="1:13" s="88" customFormat="1" ht="16.5" customHeight="1">
      <c r="A205" s="496" t="s">
        <v>5785</v>
      </c>
      <c r="B205" s="496"/>
      <c r="C205" s="493" t="s">
        <v>3847</v>
      </c>
      <c r="D205" s="493"/>
      <c r="E205" s="493"/>
      <c r="F205" s="493"/>
      <c r="G205" s="493"/>
      <c r="H205" s="493"/>
      <c r="I205" s="493"/>
      <c r="J205" s="493"/>
      <c r="K205" s="493"/>
      <c r="L205" s="493"/>
      <c r="M205" s="493"/>
    </row>
    <row r="206" spans="1:13" s="88" customFormat="1" ht="16.5" customHeight="1">
      <c r="A206" s="89" t="s">
        <v>1223</v>
      </c>
      <c r="B206" s="92" t="s">
        <v>2200</v>
      </c>
      <c r="C206" s="493" t="s">
        <v>3848</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86.25" customHeight="1">
      <c r="A210" s="89" t="s">
        <v>1229</v>
      </c>
      <c r="B210" s="673" t="s">
        <v>3849</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c r="F213" s="4"/>
    </row>
    <row r="214" spans="1:13" ht="16.5" customHeight="1"/>
    <row r="215" spans="1:13" ht="16.5" customHeight="1">
      <c r="B215" s="93"/>
      <c r="C215" s="93"/>
      <c r="D215" s="93"/>
      <c r="E215" s="93"/>
      <c r="F215" s="93"/>
      <c r="G215" s="93"/>
      <c r="H215" s="93"/>
      <c r="I215" s="93"/>
    </row>
    <row r="216" spans="1:13" ht="16.5" customHeight="1">
      <c r="B216" s="187" t="s">
        <v>3826</v>
      </c>
      <c r="C216" s="138"/>
      <c r="D216" s="93"/>
      <c r="E216" s="93"/>
      <c r="F216" s="93"/>
      <c r="G216" s="93"/>
      <c r="H216" s="93"/>
      <c r="I216" s="93"/>
    </row>
    <row r="217" spans="1:13" ht="16.5" customHeight="1">
      <c r="B217" s="111" t="s">
        <v>1246</v>
      </c>
      <c r="C217" s="112" t="s">
        <v>3593</v>
      </c>
      <c r="D217" s="93"/>
      <c r="E217" s="94" t="s">
        <v>3850</v>
      </c>
      <c r="F217" s="104" t="s">
        <v>1238</v>
      </c>
      <c r="G217" s="93"/>
      <c r="H217" s="93"/>
      <c r="I217" s="93"/>
    </row>
    <row r="218" spans="1:13" ht="16.5" customHeight="1">
      <c r="B218" s="111" t="s">
        <v>1843</v>
      </c>
      <c r="C218" s="101">
        <v>56</v>
      </c>
      <c r="D218" s="93"/>
      <c r="E218" s="93">
        <f>VARP(C218:C229)</f>
        <v>144.74305555555554</v>
      </c>
      <c r="F218" s="108" t="s">
        <v>3851</v>
      </c>
      <c r="G218" s="93"/>
      <c r="H218" s="93"/>
      <c r="I218" s="93"/>
    </row>
    <row r="219" spans="1:13" ht="16.5" customHeight="1">
      <c r="B219" s="111" t="s">
        <v>1845</v>
      </c>
      <c r="C219" s="101">
        <v>72</v>
      </c>
      <c r="D219" s="93"/>
      <c r="E219" s="93"/>
      <c r="F219" s="93"/>
      <c r="G219" s="93"/>
      <c r="H219" s="93"/>
      <c r="I219" s="93"/>
    </row>
    <row r="220" spans="1:13" ht="16.5" customHeight="1">
      <c r="B220" s="111" t="s">
        <v>1847</v>
      </c>
      <c r="C220" s="101">
        <v>71</v>
      </c>
      <c r="D220" s="93"/>
      <c r="E220" s="93"/>
      <c r="F220" s="93"/>
      <c r="G220" s="93"/>
      <c r="H220" s="93"/>
      <c r="I220" s="93"/>
    </row>
    <row r="221" spans="1:13" ht="16.5" customHeight="1">
      <c r="B221" s="111" t="s">
        <v>1848</v>
      </c>
      <c r="C221" s="101">
        <v>68</v>
      </c>
      <c r="D221" s="93"/>
      <c r="E221" s="93"/>
      <c r="F221" s="93"/>
      <c r="G221" s="93"/>
      <c r="H221" s="93"/>
      <c r="I221" s="93"/>
    </row>
    <row r="222" spans="1:13" ht="16.5" customHeight="1">
      <c r="B222" s="111" t="s">
        <v>1849</v>
      </c>
      <c r="C222" s="101">
        <v>70</v>
      </c>
      <c r="D222" s="93"/>
      <c r="E222" s="93"/>
      <c r="F222" s="93"/>
      <c r="G222" s="93"/>
      <c r="H222" s="93"/>
      <c r="I222" s="93"/>
    </row>
    <row r="223" spans="1:13" ht="16.5" customHeight="1">
      <c r="B223" s="111" t="s">
        <v>1850</v>
      </c>
      <c r="C223" s="101">
        <v>85</v>
      </c>
      <c r="D223" s="93"/>
      <c r="E223" s="93"/>
      <c r="F223" s="93"/>
      <c r="G223" s="93"/>
      <c r="H223" s="93"/>
      <c r="I223" s="93"/>
    </row>
    <row r="224" spans="1:13" ht="16.5" customHeight="1">
      <c r="B224" s="111" t="s">
        <v>1851</v>
      </c>
      <c r="C224" s="101">
        <v>61</v>
      </c>
      <c r="D224" s="93"/>
      <c r="E224" s="93"/>
      <c r="F224" s="93"/>
      <c r="G224" s="93"/>
      <c r="H224" s="93"/>
      <c r="I224" s="93"/>
    </row>
    <row r="225" spans="2:9" ht="16.5" customHeight="1">
      <c r="B225" s="111" t="s">
        <v>3597</v>
      </c>
      <c r="C225" s="101">
        <v>98</v>
      </c>
      <c r="D225" s="93"/>
      <c r="E225" s="93"/>
      <c r="F225" s="93"/>
      <c r="G225" s="93"/>
      <c r="H225" s="93"/>
      <c r="I225" s="93"/>
    </row>
    <row r="226" spans="2:9" ht="16.5" customHeight="1">
      <c r="B226" s="111" t="s">
        <v>3598</v>
      </c>
      <c r="C226" s="101">
        <v>52</v>
      </c>
    </row>
    <row r="227" spans="2:9" ht="16.5" customHeight="1">
      <c r="B227" s="111" t="s">
        <v>1852</v>
      </c>
      <c r="C227" s="101">
        <v>74</v>
      </c>
    </row>
    <row r="228" spans="2:9" ht="16.5" customHeight="1">
      <c r="B228" s="111" t="s">
        <v>1853</v>
      </c>
      <c r="C228" s="101">
        <v>81</v>
      </c>
    </row>
    <row r="229" spans="2:9" ht="16.5" customHeight="1">
      <c r="B229" s="151" t="s">
        <v>1854</v>
      </c>
      <c r="C229" s="107">
        <v>75</v>
      </c>
    </row>
    <row r="300" spans="1:13" s="88" customFormat="1" ht="26.25" customHeight="1">
      <c r="A300" s="498" t="s">
        <v>444</v>
      </c>
      <c r="B300" s="498"/>
      <c r="C300" s="499"/>
      <c r="D300" s="87"/>
      <c r="E300" s="500" t="str">
        <f>HYPERLINK("#目录!A261","跳转回到目录页")</f>
        <v>跳转回到目录页</v>
      </c>
      <c r="F300" s="501"/>
    </row>
    <row r="301" spans="1:13" s="88" customFormat="1" ht="26.25" customHeight="1">
      <c r="A301" s="502" t="s">
        <v>1216</v>
      </c>
      <c r="B301" s="502"/>
      <c r="C301" s="503" t="s">
        <v>445</v>
      </c>
      <c r="D301" s="503"/>
      <c r="E301" s="503"/>
      <c r="F301" s="503"/>
      <c r="G301" s="503"/>
      <c r="H301" s="503"/>
      <c r="I301" s="503"/>
      <c r="J301" s="503"/>
      <c r="K301" s="503"/>
      <c r="L301" s="503"/>
      <c r="M301" s="503"/>
    </row>
    <row r="302" spans="1:13" s="88" customFormat="1" ht="16.5" customHeight="1">
      <c r="A302" s="496" t="s">
        <v>1217</v>
      </c>
      <c r="B302" s="496"/>
      <c r="C302" s="493" t="s">
        <v>3852</v>
      </c>
      <c r="D302" s="493"/>
      <c r="E302" s="493"/>
      <c r="F302" s="493"/>
      <c r="G302" s="493"/>
      <c r="H302" s="493"/>
      <c r="I302" s="493"/>
      <c r="J302" s="493"/>
      <c r="K302" s="493"/>
      <c r="L302" s="493"/>
      <c r="M302" s="493"/>
    </row>
    <row r="303" spans="1:13" s="88" customFormat="1" ht="16.5" customHeight="1">
      <c r="A303" s="496" t="s">
        <v>5786</v>
      </c>
      <c r="B303" s="496"/>
      <c r="C303" s="497" t="s">
        <v>3853</v>
      </c>
      <c r="D303" s="497"/>
      <c r="E303" s="497"/>
      <c r="F303" s="497"/>
      <c r="G303" s="497"/>
      <c r="H303" s="497"/>
      <c r="I303" s="497"/>
      <c r="J303" s="497"/>
      <c r="K303" s="497"/>
      <c r="L303" s="497"/>
      <c r="M303" s="497"/>
    </row>
    <row r="304" spans="1:13" s="88" customFormat="1" ht="16.5" customHeight="1">
      <c r="A304" s="496" t="s">
        <v>1220</v>
      </c>
      <c r="B304" s="496"/>
      <c r="C304" s="493" t="s">
        <v>3854</v>
      </c>
      <c r="D304" s="493"/>
      <c r="E304" s="493"/>
      <c r="F304" s="493"/>
      <c r="G304" s="493"/>
      <c r="H304" s="493"/>
      <c r="I304" s="493"/>
      <c r="J304" s="493"/>
      <c r="K304" s="493"/>
      <c r="L304" s="493"/>
      <c r="M304" s="493"/>
    </row>
    <row r="305" spans="1:13" s="88" customFormat="1" ht="16.5" customHeight="1">
      <c r="A305" s="496" t="s">
        <v>5785</v>
      </c>
      <c r="B305" s="496"/>
      <c r="C305" s="493" t="s">
        <v>3855</v>
      </c>
      <c r="D305" s="493"/>
      <c r="E305" s="493"/>
      <c r="F305" s="493"/>
      <c r="G305" s="493"/>
      <c r="H305" s="493"/>
      <c r="I305" s="493"/>
      <c r="J305" s="493"/>
      <c r="K305" s="493"/>
      <c r="L305" s="493"/>
      <c r="M305" s="493"/>
    </row>
    <row r="306" spans="1:13" s="88" customFormat="1" ht="16.5" customHeight="1">
      <c r="A306" s="89" t="s">
        <v>1223</v>
      </c>
      <c r="B306" s="92" t="s">
        <v>3299</v>
      </c>
      <c r="C306" s="493" t="s">
        <v>3848</v>
      </c>
      <c r="D306" s="493"/>
      <c r="E306" s="493"/>
      <c r="F306" s="493"/>
      <c r="G306" s="493"/>
      <c r="H306" s="493"/>
      <c r="I306" s="493"/>
      <c r="J306" s="493"/>
      <c r="K306" s="493"/>
      <c r="L306" s="493"/>
      <c r="M306" s="493"/>
    </row>
    <row r="307" spans="1:13" s="88" customFormat="1" ht="16.5" customHeight="1">
      <c r="A307" s="89"/>
      <c r="B307" s="92"/>
      <c r="C307" s="493"/>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87" customHeight="1">
      <c r="A310" s="89" t="s">
        <v>1229</v>
      </c>
      <c r="B310" s="673" t="s">
        <v>3856</v>
      </c>
      <c r="C310" s="673"/>
      <c r="D310" s="673"/>
      <c r="E310" s="673"/>
      <c r="F310" s="673"/>
      <c r="G310" s="673"/>
      <c r="H310" s="673"/>
      <c r="I310" s="673"/>
      <c r="J310" s="673"/>
      <c r="K310" s="673"/>
      <c r="L310" s="673"/>
      <c r="M310" s="67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c r="F313" s="4"/>
    </row>
    <row r="314" spans="1:13" ht="16.5" customHeight="1"/>
    <row r="315" spans="1:13" ht="16.5" customHeight="1"/>
    <row r="316" spans="1:13" ht="16.5" customHeight="1">
      <c r="B316" s="192" t="s">
        <v>3709</v>
      </c>
      <c r="C316" s="192"/>
      <c r="D316" s="93"/>
      <c r="E316" s="93"/>
    </row>
    <row r="317" spans="1:13" ht="16.5" customHeight="1">
      <c r="B317" s="95" t="s">
        <v>1246</v>
      </c>
      <c r="C317" s="97" t="s">
        <v>3710</v>
      </c>
      <c r="D317" s="93"/>
      <c r="E317" s="93"/>
    </row>
    <row r="318" spans="1:13" ht="16.5" customHeight="1">
      <c r="B318" s="111" t="s">
        <v>1375</v>
      </c>
      <c r="C318" s="112"/>
      <c r="D318" s="93"/>
      <c r="E318" s="94" t="s">
        <v>3850</v>
      </c>
      <c r="F318" s="104" t="s">
        <v>1238</v>
      </c>
    </row>
    <row r="319" spans="1:13" ht="16.5" customHeight="1">
      <c r="B319" s="111" t="s">
        <v>1843</v>
      </c>
      <c r="C319" s="112">
        <v>3</v>
      </c>
      <c r="D319" s="93"/>
      <c r="E319" s="93">
        <f>VARPA(C319:C330)</f>
        <v>5.9722222222222223</v>
      </c>
      <c r="F319" s="108" t="s">
        <v>3857</v>
      </c>
    </row>
    <row r="320" spans="1:13" ht="16.5" customHeight="1">
      <c r="B320" s="111" t="s">
        <v>1845</v>
      </c>
      <c r="C320" s="112">
        <v>4</v>
      </c>
      <c r="D320" s="93"/>
      <c r="E320" s="93"/>
    </row>
    <row r="321" spans="2:5" ht="16.5" customHeight="1">
      <c r="B321" s="111" t="s">
        <v>1847</v>
      </c>
      <c r="C321" s="112">
        <v>5</v>
      </c>
      <c r="D321" s="93"/>
      <c r="E321" s="93"/>
    </row>
    <row r="322" spans="2:5" ht="16.5" customHeight="1">
      <c r="B322" s="111" t="s">
        <v>1848</v>
      </c>
      <c r="C322" s="112">
        <v>8</v>
      </c>
      <c r="D322" s="93"/>
      <c r="E322" s="93"/>
    </row>
    <row r="323" spans="2:5" ht="16.5" customHeight="1">
      <c r="B323" s="111" t="s">
        <v>1849</v>
      </c>
      <c r="C323" s="112">
        <v>2</v>
      </c>
      <c r="D323" s="93"/>
      <c r="E323" s="93"/>
    </row>
    <row r="324" spans="2:5" ht="16.5" customHeight="1">
      <c r="B324" s="111" t="s">
        <v>1850</v>
      </c>
      <c r="C324" s="112" t="s">
        <v>3844</v>
      </c>
      <c r="D324" s="93"/>
      <c r="E324" s="93"/>
    </row>
    <row r="325" spans="2:5" ht="16.5" customHeight="1">
      <c r="B325" s="111" t="s">
        <v>1851</v>
      </c>
      <c r="C325" s="112">
        <v>8</v>
      </c>
      <c r="D325" s="93"/>
      <c r="E325" s="93"/>
    </row>
    <row r="326" spans="2:5" ht="16.5" customHeight="1">
      <c r="B326" s="111" t="s">
        <v>3597</v>
      </c>
      <c r="C326" s="112">
        <v>3</v>
      </c>
      <c r="D326" s="93"/>
      <c r="E326" s="93"/>
    </row>
    <row r="327" spans="2:5" ht="16.5" customHeight="1">
      <c r="B327" s="111" t="s">
        <v>3598</v>
      </c>
      <c r="C327" s="112">
        <v>6</v>
      </c>
      <c r="D327" s="93"/>
      <c r="E327" s="93"/>
    </row>
    <row r="328" spans="2:5" ht="16.5" customHeight="1">
      <c r="B328" s="111" t="s">
        <v>1852</v>
      </c>
      <c r="C328" s="112">
        <v>4</v>
      </c>
      <c r="D328" s="93"/>
      <c r="E328" s="93"/>
    </row>
    <row r="329" spans="2:5" ht="16.5" customHeight="1">
      <c r="B329" s="111" t="s">
        <v>1853</v>
      </c>
      <c r="C329" s="112">
        <v>2</v>
      </c>
      <c r="D329" s="93"/>
      <c r="E329" s="93"/>
    </row>
    <row r="330" spans="2:5" ht="16.5" customHeight="1">
      <c r="B330" s="111" t="s">
        <v>1854</v>
      </c>
      <c r="C330" s="112">
        <v>1</v>
      </c>
    </row>
    <row r="331" spans="2:5" ht="16.5" customHeight="1">
      <c r="B331" s="151" t="s">
        <v>1375</v>
      </c>
      <c r="C331" s="193"/>
    </row>
  </sheetData>
  <mergeCells count="7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 ref="A300:C300"/>
    <mergeCell ref="E300:F300"/>
    <mergeCell ref="A301:B301"/>
    <mergeCell ref="C301:M301"/>
    <mergeCell ref="A302:B302"/>
    <mergeCell ref="C302:M302"/>
    <mergeCell ref="B311:L311"/>
    <mergeCell ref="A303:B303"/>
    <mergeCell ref="C303:M303"/>
    <mergeCell ref="A304:B304"/>
    <mergeCell ref="C304:M304"/>
    <mergeCell ref="A305:B305"/>
    <mergeCell ref="C305:M305"/>
    <mergeCell ref="C306:M306"/>
    <mergeCell ref="C307:M307"/>
    <mergeCell ref="C308:M308"/>
    <mergeCell ref="B309:M309"/>
    <mergeCell ref="B310:M310"/>
  </mergeCells>
  <phoneticPr fontId="2" type="noConversion"/>
  <pageMargins left="0.75" right="0.75" top="1" bottom="1" header="0.5" footer="0.5"/>
  <pageSetup paperSize="9" orientation="portrait" horizontalDpi="0" verticalDpi="0"/>
  <headerFooter scaleWithDoc="0"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4"/>
  <dimension ref="A1:AV331"/>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447</v>
      </c>
      <c r="B1" s="498"/>
      <c r="C1" s="499"/>
      <c r="D1" s="87"/>
      <c r="E1" s="500" t="str">
        <f>HYPERLINK("#目录!A263","跳转回到目录页")</f>
        <v>跳转回到目录页</v>
      </c>
      <c r="F1" s="501"/>
    </row>
    <row r="2" spans="1:48" s="88" customFormat="1" ht="26.25" customHeight="1">
      <c r="A2" s="502" t="s">
        <v>1216</v>
      </c>
      <c r="B2" s="502"/>
      <c r="C2" s="503" t="s">
        <v>448</v>
      </c>
      <c r="D2" s="503"/>
      <c r="E2" s="503"/>
      <c r="F2" s="503"/>
      <c r="G2" s="503"/>
      <c r="H2" s="503"/>
      <c r="I2" s="503"/>
      <c r="J2" s="503"/>
      <c r="K2" s="503"/>
      <c r="L2" s="503"/>
      <c r="M2" s="503"/>
    </row>
    <row r="3" spans="1:48" s="88" customFormat="1" ht="16.5" customHeight="1">
      <c r="A3" s="496" t="s">
        <v>1217</v>
      </c>
      <c r="B3" s="496"/>
      <c r="C3" s="493" t="s">
        <v>3858</v>
      </c>
      <c r="D3" s="493"/>
      <c r="E3" s="493"/>
      <c r="F3" s="493"/>
      <c r="G3" s="493"/>
      <c r="H3" s="493"/>
      <c r="I3" s="493"/>
      <c r="J3" s="493"/>
      <c r="K3" s="493"/>
      <c r="L3" s="493"/>
      <c r="M3" s="493"/>
    </row>
    <row r="4" spans="1:48" s="88" customFormat="1" ht="16.5" customHeight="1">
      <c r="A4" s="496" t="s">
        <v>5786</v>
      </c>
      <c r="B4" s="496"/>
      <c r="C4" s="497" t="s">
        <v>448</v>
      </c>
      <c r="D4" s="497"/>
      <c r="E4" s="497"/>
      <c r="F4" s="497"/>
      <c r="G4" s="497"/>
      <c r="H4" s="497"/>
      <c r="I4" s="497"/>
      <c r="J4" s="497"/>
      <c r="K4" s="497"/>
      <c r="L4" s="497"/>
      <c r="M4" s="497"/>
    </row>
    <row r="5" spans="1:48" s="88" customFormat="1" ht="16.5" customHeight="1">
      <c r="A5" s="496" t="s">
        <v>1220</v>
      </c>
      <c r="B5" s="496"/>
      <c r="C5" s="493" t="s">
        <v>3859</v>
      </c>
      <c r="D5" s="493"/>
      <c r="E5" s="493"/>
      <c r="F5" s="493"/>
      <c r="G5" s="493"/>
      <c r="H5" s="493"/>
      <c r="I5" s="493"/>
      <c r="J5" s="493"/>
      <c r="K5" s="493"/>
      <c r="L5" s="493"/>
      <c r="M5" s="493"/>
    </row>
    <row r="6" spans="1:48" s="88" customFormat="1" ht="16.5" customHeight="1">
      <c r="A6" s="496" t="s">
        <v>5785</v>
      </c>
      <c r="B6" s="496"/>
      <c r="C6" s="493" t="s">
        <v>3860</v>
      </c>
      <c r="D6" s="493"/>
      <c r="E6" s="493"/>
      <c r="F6" s="493"/>
      <c r="G6" s="493"/>
      <c r="H6" s="493"/>
      <c r="I6" s="493"/>
      <c r="J6" s="493"/>
      <c r="K6" s="493"/>
      <c r="L6" s="493"/>
      <c r="M6" s="493"/>
    </row>
    <row r="7" spans="1:48" s="88" customFormat="1" ht="16.5" customHeight="1">
      <c r="A7" s="89" t="s">
        <v>1223</v>
      </c>
      <c r="B7" s="92" t="s">
        <v>2200</v>
      </c>
      <c r="C7" s="493" t="s">
        <v>3861</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96" customHeight="1">
      <c r="A11" s="89" t="s">
        <v>1229</v>
      </c>
      <c r="B11" s="673" t="s">
        <v>3862</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87" t="s">
        <v>3826</v>
      </c>
      <c r="C17" s="13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1" t="s">
        <v>1246</v>
      </c>
      <c r="C18" s="112" t="s">
        <v>3593</v>
      </c>
      <c r="E18" s="94" t="s">
        <v>3863</v>
      </c>
      <c r="F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1843</v>
      </c>
      <c r="C19" s="101">
        <v>56</v>
      </c>
      <c r="E19" s="93">
        <f>STDEV(C19:C30)</f>
        <v>12.565886962388088</v>
      </c>
      <c r="F19" s="108" t="s">
        <v>3864</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1845</v>
      </c>
      <c r="C20" s="101">
        <v>72</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1847</v>
      </c>
      <c r="C21" s="101">
        <v>71</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1848</v>
      </c>
      <c r="C22" s="101">
        <v>68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1849</v>
      </c>
      <c r="C23" s="101">
        <v>70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1850</v>
      </c>
      <c r="C24" s="101">
        <v>85</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1851</v>
      </c>
      <c r="C25" s="101">
        <v>61</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3597</v>
      </c>
      <c r="C26" s="101">
        <v>98</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3598</v>
      </c>
      <c r="C27" s="101">
        <v>52</v>
      </c>
      <c r="D27" s="4"/>
      <c r="E27" s="4"/>
      <c r="F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1852</v>
      </c>
      <c r="C28" s="101">
        <v>74</v>
      </c>
      <c r="D28" s="4"/>
      <c r="E28" s="4"/>
      <c r="F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1" t="s">
        <v>1853</v>
      </c>
      <c r="C29" s="101">
        <v>81</v>
      </c>
      <c r="D29" s="4"/>
      <c r="E29" s="4"/>
      <c r="F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51" t="s">
        <v>1854</v>
      </c>
      <c r="C30" s="107">
        <v>75</v>
      </c>
      <c r="D30" s="4"/>
      <c r="E30" s="4"/>
      <c r="F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449</v>
      </c>
      <c r="B100" s="498"/>
      <c r="C100" s="499"/>
      <c r="D100" s="87"/>
      <c r="E100" s="500" t="str">
        <f>HYPERLINK("#目录!A264","跳转回到目录页")</f>
        <v>跳转回到目录页</v>
      </c>
      <c r="F100" s="501"/>
    </row>
    <row r="101" spans="1:13" s="88" customFormat="1" ht="26.25" customHeight="1">
      <c r="A101" s="502" t="s">
        <v>1216</v>
      </c>
      <c r="B101" s="502"/>
      <c r="C101" s="503" t="s">
        <v>448</v>
      </c>
      <c r="D101" s="503"/>
      <c r="E101" s="503"/>
      <c r="F101" s="503"/>
      <c r="G101" s="503"/>
      <c r="H101" s="503"/>
      <c r="I101" s="503"/>
      <c r="J101" s="503"/>
      <c r="K101" s="503"/>
      <c r="L101" s="503"/>
      <c r="M101" s="503"/>
    </row>
    <row r="102" spans="1:13" s="88" customFormat="1" ht="16.5" customHeight="1">
      <c r="A102" s="496" t="s">
        <v>1217</v>
      </c>
      <c r="B102" s="496"/>
      <c r="C102" s="493" t="s">
        <v>3865</v>
      </c>
      <c r="D102" s="493"/>
      <c r="E102" s="493"/>
      <c r="F102" s="493"/>
      <c r="G102" s="493"/>
      <c r="H102" s="493"/>
      <c r="I102" s="493"/>
      <c r="J102" s="493"/>
      <c r="K102" s="493"/>
      <c r="L102" s="493"/>
      <c r="M102" s="493"/>
    </row>
    <row r="103" spans="1:13" s="88" customFormat="1" ht="16.5" customHeight="1">
      <c r="A103" s="496" t="s">
        <v>5786</v>
      </c>
      <c r="B103" s="496"/>
      <c r="C103" s="497" t="s">
        <v>448</v>
      </c>
      <c r="D103" s="497"/>
      <c r="E103" s="497"/>
      <c r="F103" s="497"/>
      <c r="G103" s="497"/>
      <c r="H103" s="497"/>
      <c r="I103" s="497"/>
      <c r="J103" s="497"/>
      <c r="K103" s="497"/>
      <c r="L103" s="497"/>
      <c r="M103" s="497"/>
    </row>
    <row r="104" spans="1:13" s="88" customFormat="1" ht="16.5" customHeight="1">
      <c r="A104" s="496" t="s">
        <v>1220</v>
      </c>
      <c r="B104" s="496"/>
      <c r="C104" s="493" t="s">
        <v>3866</v>
      </c>
      <c r="D104" s="493"/>
      <c r="E104" s="493"/>
      <c r="F104" s="493"/>
      <c r="G104" s="493"/>
      <c r="H104" s="493"/>
      <c r="I104" s="493"/>
      <c r="J104" s="493"/>
      <c r="K104" s="493"/>
      <c r="L104" s="493"/>
      <c r="M104" s="493"/>
    </row>
    <row r="105" spans="1:13" s="88" customFormat="1" ht="16.5" customHeight="1">
      <c r="A105" s="496" t="s">
        <v>5785</v>
      </c>
      <c r="B105" s="496"/>
      <c r="C105" s="493" t="s">
        <v>3867</v>
      </c>
      <c r="D105" s="493"/>
      <c r="E105" s="493"/>
      <c r="F105" s="493"/>
      <c r="G105" s="493"/>
      <c r="H105" s="493"/>
      <c r="I105" s="493"/>
      <c r="J105" s="493"/>
      <c r="K105" s="493"/>
      <c r="L105" s="493"/>
      <c r="M105" s="493"/>
    </row>
    <row r="106" spans="1:13" s="88" customFormat="1" ht="16.5" customHeight="1">
      <c r="A106" s="89" t="s">
        <v>1223</v>
      </c>
      <c r="B106" s="92" t="s">
        <v>3299</v>
      </c>
      <c r="C106" s="493" t="s">
        <v>3868</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79.5" customHeight="1">
      <c r="A110" s="89" t="s">
        <v>1229</v>
      </c>
      <c r="B110" s="673" t="s">
        <v>3869</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6" s="93" customFormat="1" ht="16.5" customHeight="1">
      <c r="A113" s="94" t="s">
        <v>1232</v>
      </c>
      <c r="B113" s="93" t="s">
        <v>1773</v>
      </c>
      <c r="F113" s="4"/>
    </row>
    <row r="114" spans="1:6" ht="16.5" customHeight="1"/>
    <row r="115" spans="1:6" ht="16.5" customHeight="1"/>
    <row r="116" spans="1:6" ht="16.5" customHeight="1">
      <c r="B116" s="192" t="s">
        <v>3709</v>
      </c>
      <c r="C116" s="192"/>
      <c r="D116" s="93"/>
      <c r="E116" s="93"/>
      <c r="F116" s="93"/>
    </row>
    <row r="117" spans="1:6" ht="16.5" customHeight="1">
      <c r="B117" s="95" t="s">
        <v>1246</v>
      </c>
      <c r="C117" s="97" t="s">
        <v>3710</v>
      </c>
      <c r="D117" s="93"/>
      <c r="E117" s="93"/>
      <c r="F117" s="93"/>
    </row>
    <row r="118" spans="1:6" ht="16.5" customHeight="1">
      <c r="B118" s="111" t="s">
        <v>1375</v>
      </c>
      <c r="C118" s="112"/>
      <c r="D118" s="93"/>
      <c r="E118" s="94" t="s">
        <v>3863</v>
      </c>
      <c r="F118" s="104" t="s">
        <v>1238</v>
      </c>
    </row>
    <row r="119" spans="1:6" ht="16.5" customHeight="1">
      <c r="B119" s="111" t="s">
        <v>1843</v>
      </c>
      <c r="C119" s="112">
        <v>3</v>
      </c>
      <c r="D119" s="93"/>
      <c r="E119" s="93">
        <f>STDEVA(C119:C130)</f>
        <v>2.5524794837866014</v>
      </c>
      <c r="F119" s="108" t="s">
        <v>3870</v>
      </c>
    </row>
    <row r="120" spans="1:6" ht="16.5" customHeight="1">
      <c r="B120" s="111" t="s">
        <v>1845</v>
      </c>
      <c r="C120" s="112">
        <v>4</v>
      </c>
      <c r="D120" s="93"/>
      <c r="E120" s="93"/>
      <c r="F120" s="93"/>
    </row>
    <row r="121" spans="1:6" ht="16.5" customHeight="1">
      <c r="B121" s="111" t="s">
        <v>1847</v>
      </c>
      <c r="C121" s="112">
        <v>5</v>
      </c>
      <c r="D121" s="93"/>
      <c r="E121" s="93"/>
      <c r="F121" s="93"/>
    </row>
    <row r="122" spans="1:6" ht="16.5" customHeight="1">
      <c r="B122" s="111" t="s">
        <v>1848</v>
      </c>
      <c r="C122" s="112">
        <v>8</v>
      </c>
      <c r="D122" s="93"/>
      <c r="E122" s="93"/>
      <c r="F122" s="93"/>
    </row>
    <row r="123" spans="1:6" ht="16.5" customHeight="1">
      <c r="B123" s="111" t="s">
        <v>1849</v>
      </c>
      <c r="C123" s="112">
        <v>2</v>
      </c>
      <c r="D123" s="93"/>
      <c r="E123" s="93"/>
      <c r="F123" s="93"/>
    </row>
    <row r="124" spans="1:6" ht="16.5" customHeight="1">
      <c r="B124" s="111" t="s">
        <v>1850</v>
      </c>
      <c r="C124" s="112" t="s">
        <v>3844</v>
      </c>
      <c r="D124" s="93"/>
      <c r="E124" s="93"/>
      <c r="F124" s="93"/>
    </row>
    <row r="125" spans="1:6" ht="16.5" customHeight="1">
      <c r="B125" s="111" t="s">
        <v>1851</v>
      </c>
      <c r="C125" s="112">
        <v>8</v>
      </c>
      <c r="D125" s="93"/>
      <c r="E125" s="93"/>
      <c r="F125" s="93"/>
    </row>
    <row r="126" spans="1:6" ht="16.5" customHeight="1">
      <c r="B126" s="111" t="s">
        <v>3597</v>
      </c>
      <c r="C126" s="112">
        <v>3</v>
      </c>
      <c r="D126" s="93"/>
      <c r="E126" s="93"/>
      <c r="F126" s="93"/>
    </row>
    <row r="127" spans="1:6" ht="16.5" customHeight="1">
      <c r="B127" s="111" t="s">
        <v>3598</v>
      </c>
      <c r="C127" s="112">
        <v>6</v>
      </c>
      <c r="D127" s="93"/>
      <c r="E127" s="93"/>
      <c r="F127" s="93"/>
    </row>
    <row r="128" spans="1:6" ht="16.5" customHeight="1">
      <c r="B128" s="111" t="s">
        <v>1852</v>
      </c>
      <c r="C128" s="112">
        <v>4</v>
      </c>
      <c r="D128" s="93"/>
      <c r="E128" s="93"/>
      <c r="F128" s="93"/>
    </row>
    <row r="129" spans="2:6" ht="16.5" customHeight="1">
      <c r="B129" s="111" t="s">
        <v>1853</v>
      </c>
      <c r="C129" s="112">
        <v>2</v>
      </c>
      <c r="D129" s="93"/>
      <c r="E129" s="93"/>
      <c r="F129" s="93"/>
    </row>
    <row r="130" spans="2:6" ht="16.5" customHeight="1">
      <c r="B130" s="111" t="s">
        <v>1854</v>
      </c>
      <c r="C130" s="112">
        <v>1</v>
      </c>
    </row>
    <row r="131" spans="2:6" ht="16.5" customHeight="1">
      <c r="B131" s="151" t="s">
        <v>1375</v>
      </c>
      <c r="C131" s="193"/>
    </row>
    <row r="200" spans="1:13" s="88" customFormat="1" ht="26.25" customHeight="1">
      <c r="A200" s="498" t="s">
        <v>450</v>
      </c>
      <c r="B200" s="498"/>
      <c r="C200" s="499"/>
      <c r="D200" s="87"/>
      <c r="E200" s="500" t="str">
        <f>HYPERLINK("#目录!A265","跳转回到目录页")</f>
        <v>跳转回到目录页</v>
      </c>
      <c r="F200" s="501"/>
    </row>
    <row r="201" spans="1:13" s="88" customFormat="1" ht="26.25" customHeight="1">
      <c r="A201" s="502" t="s">
        <v>1216</v>
      </c>
      <c r="B201" s="502"/>
      <c r="C201" s="503" t="s">
        <v>451</v>
      </c>
      <c r="D201" s="503"/>
      <c r="E201" s="503"/>
      <c r="F201" s="503"/>
      <c r="G201" s="503"/>
      <c r="H201" s="503"/>
      <c r="I201" s="503"/>
      <c r="J201" s="503"/>
      <c r="K201" s="503"/>
      <c r="L201" s="503"/>
      <c r="M201" s="503"/>
    </row>
    <row r="202" spans="1:13" s="88" customFormat="1" ht="16.5" customHeight="1">
      <c r="A202" s="496" t="s">
        <v>1217</v>
      </c>
      <c r="B202" s="496"/>
      <c r="C202" s="493" t="s">
        <v>3871</v>
      </c>
      <c r="D202" s="493"/>
      <c r="E202" s="493"/>
      <c r="F202" s="493"/>
      <c r="G202" s="493"/>
      <c r="H202" s="493"/>
      <c r="I202" s="493"/>
      <c r="J202" s="493"/>
      <c r="K202" s="493"/>
      <c r="L202" s="493"/>
      <c r="M202" s="493"/>
    </row>
    <row r="203" spans="1:13" s="88" customFormat="1" ht="16.5" customHeight="1">
      <c r="A203" s="496" t="s">
        <v>5786</v>
      </c>
      <c r="B203" s="496"/>
      <c r="C203" s="497" t="s">
        <v>451</v>
      </c>
      <c r="D203" s="497"/>
      <c r="E203" s="497"/>
      <c r="F203" s="497"/>
      <c r="G203" s="497"/>
      <c r="H203" s="497"/>
      <c r="I203" s="497"/>
      <c r="J203" s="497"/>
      <c r="K203" s="497"/>
      <c r="L203" s="497"/>
      <c r="M203" s="497"/>
    </row>
    <row r="204" spans="1:13" s="88" customFormat="1" ht="16.5" customHeight="1">
      <c r="A204" s="496" t="s">
        <v>1220</v>
      </c>
      <c r="B204" s="496"/>
      <c r="C204" s="493" t="s">
        <v>3872</v>
      </c>
      <c r="D204" s="493"/>
      <c r="E204" s="493"/>
      <c r="F204" s="493"/>
      <c r="G204" s="493"/>
      <c r="H204" s="493"/>
      <c r="I204" s="493"/>
      <c r="J204" s="493"/>
      <c r="K204" s="493"/>
      <c r="L204" s="493"/>
      <c r="M204" s="493"/>
    </row>
    <row r="205" spans="1:13" s="88" customFormat="1" ht="16.5" customHeight="1">
      <c r="A205" s="496" t="s">
        <v>5785</v>
      </c>
      <c r="B205" s="496"/>
      <c r="C205" s="493" t="s">
        <v>3873</v>
      </c>
      <c r="D205" s="493"/>
      <c r="E205" s="493"/>
      <c r="F205" s="493"/>
      <c r="G205" s="493"/>
      <c r="H205" s="493"/>
      <c r="I205" s="493"/>
      <c r="J205" s="493"/>
      <c r="K205" s="493"/>
      <c r="L205" s="493"/>
      <c r="M205" s="493"/>
    </row>
    <row r="206" spans="1:13" s="88" customFormat="1" ht="16.5" customHeight="1">
      <c r="A206" s="89" t="s">
        <v>1223</v>
      </c>
      <c r="B206" s="92" t="s">
        <v>2200</v>
      </c>
      <c r="C206" s="493" t="s">
        <v>3874</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t="s">
        <v>3875</v>
      </c>
      <c r="C209" s="493"/>
      <c r="D209" s="493"/>
      <c r="E209" s="493"/>
      <c r="F209" s="493"/>
      <c r="G209" s="493"/>
      <c r="H209" s="493"/>
      <c r="I209" s="493"/>
      <c r="J209" s="493"/>
      <c r="K209" s="493"/>
      <c r="L209" s="493"/>
      <c r="M209" s="493"/>
    </row>
    <row r="210" spans="1:13" ht="98.25" customHeight="1">
      <c r="A210" s="89" t="s">
        <v>1229</v>
      </c>
      <c r="B210" s="673" t="s">
        <v>3876</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c r="G213" s="4"/>
    </row>
    <row r="214" spans="1:13" ht="16.5" customHeight="1"/>
    <row r="215" spans="1:13" ht="16.5" customHeight="1"/>
    <row r="216" spans="1:13" ht="16.5" customHeight="1">
      <c r="B216" s="187" t="s">
        <v>3826</v>
      </c>
      <c r="C216" s="138"/>
      <c r="D216" s="93"/>
      <c r="E216" s="93"/>
      <c r="F216" s="93"/>
    </row>
    <row r="217" spans="1:13" ht="16.5" customHeight="1">
      <c r="B217" s="111" t="s">
        <v>1246</v>
      </c>
      <c r="C217" s="112" t="s">
        <v>3593</v>
      </c>
      <c r="D217" s="93"/>
      <c r="E217" s="94" t="s">
        <v>3863</v>
      </c>
      <c r="F217" s="104" t="s">
        <v>1238</v>
      </c>
    </row>
    <row r="218" spans="1:13" ht="16.5" customHeight="1">
      <c r="B218" s="111" t="s">
        <v>1843</v>
      </c>
      <c r="C218" s="101">
        <v>56</v>
      </c>
      <c r="D218" s="93"/>
      <c r="E218" s="93">
        <f>STDEVP(C218:C229)</f>
        <v>12.030920810792312</v>
      </c>
      <c r="F218" s="108" t="s">
        <v>3877</v>
      </c>
    </row>
    <row r="219" spans="1:13" ht="16.5" customHeight="1">
      <c r="B219" s="111" t="s">
        <v>1845</v>
      </c>
      <c r="C219" s="101">
        <v>72</v>
      </c>
      <c r="D219" s="93"/>
      <c r="E219" s="93"/>
      <c r="F219" s="93"/>
    </row>
    <row r="220" spans="1:13" ht="16.5" customHeight="1">
      <c r="B220" s="111" t="s">
        <v>1847</v>
      </c>
      <c r="C220" s="101">
        <v>71</v>
      </c>
      <c r="D220" s="93"/>
      <c r="E220" s="93"/>
      <c r="F220" s="93"/>
    </row>
    <row r="221" spans="1:13" ht="16.5" customHeight="1">
      <c r="B221" s="111" t="s">
        <v>1848</v>
      </c>
      <c r="C221" s="101">
        <v>68</v>
      </c>
      <c r="D221" s="93"/>
      <c r="E221" s="93"/>
      <c r="F221" s="93"/>
    </row>
    <row r="222" spans="1:13" ht="16.5" customHeight="1">
      <c r="B222" s="111" t="s">
        <v>1849</v>
      </c>
      <c r="C222" s="101">
        <v>70</v>
      </c>
      <c r="D222" s="93"/>
      <c r="E222" s="93"/>
      <c r="F222" s="93"/>
    </row>
    <row r="223" spans="1:13" ht="16.5" customHeight="1">
      <c r="B223" s="111" t="s">
        <v>1850</v>
      </c>
      <c r="C223" s="101">
        <v>85</v>
      </c>
      <c r="D223" s="93"/>
      <c r="E223" s="93"/>
      <c r="F223" s="93"/>
    </row>
    <row r="224" spans="1:13" ht="16.5" customHeight="1">
      <c r="B224" s="111" t="s">
        <v>1851</v>
      </c>
      <c r="C224" s="101">
        <v>61</v>
      </c>
      <c r="D224" s="93"/>
      <c r="E224" s="93"/>
      <c r="F224" s="93"/>
    </row>
    <row r="225" spans="2:6" ht="16.5" customHeight="1">
      <c r="B225" s="111" t="s">
        <v>3597</v>
      </c>
      <c r="C225" s="101">
        <v>98</v>
      </c>
      <c r="D225" s="93"/>
      <c r="E225" s="93"/>
      <c r="F225" s="93"/>
    </row>
    <row r="226" spans="2:6" ht="16.5" customHeight="1">
      <c r="B226" s="111" t="s">
        <v>3598</v>
      </c>
      <c r="C226" s="101">
        <v>52</v>
      </c>
    </row>
    <row r="227" spans="2:6" ht="16.5" customHeight="1">
      <c r="B227" s="111" t="s">
        <v>1852</v>
      </c>
      <c r="C227" s="101">
        <v>74</v>
      </c>
    </row>
    <row r="228" spans="2:6" ht="16.5" customHeight="1">
      <c r="B228" s="111" t="s">
        <v>1853</v>
      </c>
      <c r="C228" s="101">
        <v>81</v>
      </c>
    </row>
    <row r="229" spans="2:6" ht="16.5" customHeight="1">
      <c r="B229" s="151" t="s">
        <v>1854</v>
      </c>
      <c r="C229" s="107">
        <v>75</v>
      </c>
    </row>
    <row r="300" spans="1:13" s="88" customFormat="1" ht="26.25" customHeight="1">
      <c r="A300" s="498" t="s">
        <v>452</v>
      </c>
      <c r="B300" s="498"/>
      <c r="C300" s="499"/>
      <c r="D300" s="87"/>
      <c r="E300" s="500" t="str">
        <f>HYPERLINK("#目录!A266","跳转回到目录页")</f>
        <v>跳转回到目录页</v>
      </c>
      <c r="F300" s="501"/>
    </row>
    <row r="301" spans="1:13" s="88" customFormat="1" ht="26.25" customHeight="1">
      <c r="A301" s="502" t="s">
        <v>1216</v>
      </c>
      <c r="B301" s="502"/>
      <c r="C301" s="503" t="s">
        <v>451</v>
      </c>
      <c r="D301" s="503"/>
      <c r="E301" s="503"/>
      <c r="F301" s="503"/>
      <c r="G301" s="503"/>
      <c r="H301" s="503"/>
      <c r="I301" s="503"/>
      <c r="J301" s="503"/>
      <c r="K301" s="503"/>
      <c r="L301" s="503"/>
      <c r="M301" s="503"/>
    </row>
    <row r="302" spans="1:13" s="88" customFormat="1" ht="16.5" customHeight="1">
      <c r="A302" s="496" t="s">
        <v>1217</v>
      </c>
      <c r="B302" s="496"/>
      <c r="C302" s="493" t="s">
        <v>3878</v>
      </c>
      <c r="D302" s="493"/>
      <c r="E302" s="493"/>
      <c r="F302" s="493"/>
      <c r="G302" s="493"/>
      <c r="H302" s="493"/>
      <c r="I302" s="493"/>
      <c r="J302" s="493"/>
      <c r="K302" s="493"/>
      <c r="L302" s="493"/>
      <c r="M302" s="493"/>
    </row>
    <row r="303" spans="1:13" s="88" customFormat="1" ht="16.5" customHeight="1">
      <c r="A303" s="496" t="s">
        <v>5786</v>
      </c>
      <c r="B303" s="496"/>
      <c r="C303" s="497" t="s">
        <v>451</v>
      </c>
      <c r="D303" s="497"/>
      <c r="E303" s="497"/>
      <c r="F303" s="497"/>
      <c r="G303" s="497"/>
      <c r="H303" s="497"/>
      <c r="I303" s="497"/>
      <c r="J303" s="497"/>
      <c r="K303" s="497"/>
      <c r="L303" s="497"/>
      <c r="M303" s="497"/>
    </row>
    <row r="304" spans="1:13" s="88" customFormat="1" ht="16.5" customHeight="1">
      <c r="A304" s="496" t="s">
        <v>1220</v>
      </c>
      <c r="B304" s="496"/>
      <c r="C304" s="493" t="s">
        <v>3879</v>
      </c>
      <c r="D304" s="493"/>
      <c r="E304" s="493"/>
      <c r="F304" s="493"/>
      <c r="G304" s="493"/>
      <c r="H304" s="493"/>
      <c r="I304" s="493"/>
      <c r="J304" s="493"/>
      <c r="K304" s="493"/>
      <c r="L304" s="493"/>
      <c r="M304" s="493"/>
    </row>
    <row r="305" spans="1:13" s="88" customFormat="1" ht="16.5" customHeight="1">
      <c r="A305" s="496" t="s">
        <v>5785</v>
      </c>
      <c r="B305" s="496"/>
      <c r="C305" s="493" t="s">
        <v>3880</v>
      </c>
      <c r="D305" s="493"/>
      <c r="E305" s="493"/>
      <c r="F305" s="493"/>
      <c r="G305" s="493"/>
      <c r="H305" s="493"/>
      <c r="I305" s="493"/>
      <c r="J305" s="493"/>
      <c r="K305" s="493"/>
      <c r="L305" s="493"/>
      <c r="M305" s="493"/>
    </row>
    <row r="306" spans="1:13" s="88" customFormat="1" ht="16.5" customHeight="1">
      <c r="A306" s="89" t="s">
        <v>1223</v>
      </c>
      <c r="B306" s="92" t="s">
        <v>3299</v>
      </c>
      <c r="C306" s="493" t="s">
        <v>3881</v>
      </c>
      <c r="D306" s="493"/>
      <c r="E306" s="493"/>
      <c r="F306" s="493"/>
      <c r="G306" s="493"/>
      <c r="H306" s="493"/>
      <c r="I306" s="493"/>
      <c r="J306" s="493"/>
      <c r="K306" s="493"/>
      <c r="L306" s="493"/>
      <c r="M306" s="493"/>
    </row>
    <row r="307" spans="1:13" s="88" customFormat="1" ht="16.5" customHeight="1">
      <c r="A307" s="89"/>
      <c r="B307" s="92"/>
      <c r="C307" s="493"/>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110.25" customHeight="1">
      <c r="A310" s="89" t="s">
        <v>1229</v>
      </c>
      <c r="B310" s="493" t="s">
        <v>3882</v>
      </c>
      <c r="C310" s="493"/>
      <c r="D310" s="493"/>
      <c r="E310" s="493"/>
      <c r="F310" s="493"/>
      <c r="G310" s="493"/>
      <c r="H310" s="493"/>
      <c r="I310" s="493"/>
      <c r="J310" s="493"/>
      <c r="K310" s="493"/>
      <c r="L310" s="493"/>
      <c r="M310" s="49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row r="316" spans="1:13" ht="16.5" customHeight="1">
      <c r="B316" s="192" t="s">
        <v>3709</v>
      </c>
      <c r="C316" s="192"/>
      <c r="D316" s="93"/>
      <c r="E316" s="93"/>
      <c r="F316" s="93"/>
    </row>
    <row r="317" spans="1:13" ht="16.5" customHeight="1">
      <c r="B317" s="95" t="s">
        <v>1246</v>
      </c>
      <c r="C317" s="97" t="s">
        <v>3710</v>
      </c>
      <c r="D317" s="93"/>
      <c r="E317" s="93"/>
      <c r="F317" s="93"/>
    </row>
    <row r="318" spans="1:13" ht="16.5" customHeight="1">
      <c r="B318" s="111" t="s">
        <v>1375</v>
      </c>
      <c r="C318" s="112"/>
      <c r="D318" s="93"/>
      <c r="E318" s="94" t="s">
        <v>3863</v>
      </c>
      <c r="F318" s="104" t="s">
        <v>1238</v>
      </c>
    </row>
    <row r="319" spans="1:13" ht="16.5" customHeight="1">
      <c r="B319" s="111" t="s">
        <v>1843</v>
      </c>
      <c r="C319" s="112">
        <v>3</v>
      </c>
      <c r="D319" s="93"/>
      <c r="E319" s="93">
        <f>STDEVPA(C319:C330)</f>
        <v>2.4438130497691968</v>
      </c>
      <c r="F319" s="108" t="s">
        <v>3883</v>
      </c>
    </row>
    <row r="320" spans="1:13" ht="16.5" customHeight="1">
      <c r="B320" s="111" t="s">
        <v>1845</v>
      </c>
      <c r="C320" s="112">
        <v>4</v>
      </c>
      <c r="D320" s="93"/>
      <c r="E320" s="93"/>
      <c r="F320" s="93"/>
    </row>
    <row r="321" spans="2:6" ht="16.5" customHeight="1">
      <c r="B321" s="111" t="s">
        <v>1847</v>
      </c>
      <c r="C321" s="112">
        <v>5</v>
      </c>
      <c r="D321" s="93"/>
      <c r="E321" s="93"/>
      <c r="F321" s="93"/>
    </row>
    <row r="322" spans="2:6" ht="16.5" customHeight="1">
      <c r="B322" s="111" t="s">
        <v>1848</v>
      </c>
      <c r="C322" s="112">
        <v>8</v>
      </c>
      <c r="D322" s="93"/>
      <c r="E322" s="93"/>
      <c r="F322" s="93"/>
    </row>
    <row r="323" spans="2:6" ht="16.5" customHeight="1">
      <c r="B323" s="111" t="s">
        <v>1849</v>
      </c>
      <c r="C323" s="112">
        <v>2</v>
      </c>
      <c r="D323" s="93"/>
      <c r="E323" s="93"/>
      <c r="F323" s="93"/>
    </row>
    <row r="324" spans="2:6" ht="16.5" customHeight="1">
      <c r="B324" s="111" t="s">
        <v>1850</v>
      </c>
      <c r="C324" s="112" t="s">
        <v>3844</v>
      </c>
      <c r="D324" s="93"/>
      <c r="E324" s="93"/>
      <c r="F324" s="93"/>
    </row>
    <row r="325" spans="2:6" ht="16.5" customHeight="1">
      <c r="B325" s="111" t="s">
        <v>1851</v>
      </c>
      <c r="C325" s="112">
        <v>8</v>
      </c>
      <c r="D325" s="93"/>
      <c r="E325" s="93"/>
      <c r="F325" s="93"/>
    </row>
    <row r="326" spans="2:6" ht="16.5" customHeight="1">
      <c r="B326" s="111" t="s">
        <v>3597</v>
      </c>
      <c r="C326" s="112">
        <v>3</v>
      </c>
      <c r="D326" s="93"/>
      <c r="E326" s="93"/>
      <c r="F326" s="93"/>
    </row>
    <row r="327" spans="2:6" ht="16.5" customHeight="1">
      <c r="B327" s="111" t="s">
        <v>3598</v>
      </c>
      <c r="C327" s="112">
        <v>6</v>
      </c>
      <c r="D327" s="93"/>
      <c r="E327" s="93"/>
      <c r="F327" s="93"/>
    </row>
    <row r="328" spans="2:6" ht="16.5" customHeight="1">
      <c r="B328" s="111" t="s">
        <v>1852</v>
      </c>
      <c r="C328" s="112">
        <v>4</v>
      </c>
      <c r="D328" s="93"/>
      <c r="E328" s="93"/>
      <c r="F328" s="93"/>
    </row>
    <row r="329" spans="2:6" ht="16.5" customHeight="1">
      <c r="B329" s="111" t="s">
        <v>1853</v>
      </c>
      <c r="C329" s="112">
        <v>2</v>
      </c>
      <c r="D329" s="93"/>
      <c r="E329" s="93"/>
      <c r="F329" s="93"/>
    </row>
    <row r="330" spans="2:6" ht="16.5" customHeight="1">
      <c r="B330" s="111" t="s">
        <v>1854</v>
      </c>
      <c r="C330" s="112">
        <v>1</v>
      </c>
    </row>
    <row r="331" spans="2:6" ht="16.5" customHeight="1">
      <c r="B331" s="151" t="s">
        <v>1375</v>
      </c>
      <c r="C331" s="193"/>
    </row>
  </sheetData>
  <mergeCells count="7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 ref="A300:C300"/>
    <mergeCell ref="E300:F300"/>
    <mergeCell ref="A301:B301"/>
    <mergeCell ref="C301:M301"/>
    <mergeCell ref="A302:B302"/>
    <mergeCell ref="C302:M302"/>
    <mergeCell ref="B311:L311"/>
    <mergeCell ref="A303:B303"/>
    <mergeCell ref="C303:M303"/>
    <mergeCell ref="A304:B304"/>
    <mergeCell ref="C304:M304"/>
    <mergeCell ref="A305:B305"/>
    <mergeCell ref="C305:M305"/>
    <mergeCell ref="C306:M306"/>
    <mergeCell ref="C307:M307"/>
    <mergeCell ref="C308:M308"/>
    <mergeCell ref="B309:M309"/>
    <mergeCell ref="B310:M310"/>
  </mergeCells>
  <phoneticPr fontId="2" type="noConversion"/>
  <pageMargins left="0.75" right="0.75" top="1" bottom="1" header="0.5" footer="0.5"/>
  <headerFooter scaleWithDoc="0"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5"/>
  <dimension ref="A1:AV12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454</v>
      </c>
      <c r="B1" s="498"/>
      <c r="C1" s="499"/>
      <c r="D1" s="87"/>
      <c r="E1" s="500" t="str">
        <f>HYPERLINK("#目录!A268","跳转回到目录页")</f>
        <v>跳转回到目录页</v>
      </c>
      <c r="F1" s="501"/>
    </row>
    <row r="2" spans="1:48" s="88" customFormat="1" ht="26.25" customHeight="1">
      <c r="A2" s="502" t="s">
        <v>1216</v>
      </c>
      <c r="B2" s="502"/>
      <c r="C2" s="503" t="s">
        <v>455</v>
      </c>
      <c r="D2" s="503"/>
      <c r="E2" s="503"/>
      <c r="F2" s="503"/>
      <c r="G2" s="503"/>
      <c r="H2" s="503"/>
      <c r="I2" s="503"/>
      <c r="J2" s="503"/>
      <c r="K2" s="503"/>
      <c r="L2" s="503"/>
      <c r="M2" s="503"/>
    </row>
    <row r="3" spans="1:48" s="88" customFormat="1" ht="16.5" customHeight="1">
      <c r="A3" s="496" t="s">
        <v>1217</v>
      </c>
      <c r="B3" s="496"/>
      <c r="C3" s="493" t="s">
        <v>3884</v>
      </c>
      <c r="D3" s="493"/>
      <c r="E3" s="493"/>
      <c r="F3" s="493"/>
      <c r="G3" s="493"/>
      <c r="H3" s="493"/>
      <c r="I3" s="493"/>
      <c r="J3" s="493"/>
      <c r="K3" s="493"/>
      <c r="L3" s="493"/>
      <c r="M3" s="493"/>
    </row>
    <row r="4" spans="1:48" s="88" customFormat="1" ht="16.5" customHeight="1">
      <c r="A4" s="496" t="s">
        <v>5786</v>
      </c>
      <c r="B4" s="496"/>
      <c r="C4" s="497" t="s">
        <v>455</v>
      </c>
      <c r="D4" s="497"/>
      <c r="E4" s="497"/>
      <c r="F4" s="497"/>
      <c r="G4" s="497"/>
      <c r="H4" s="497"/>
      <c r="I4" s="497"/>
      <c r="J4" s="497"/>
      <c r="K4" s="497"/>
      <c r="L4" s="497"/>
      <c r="M4" s="497"/>
    </row>
    <row r="5" spans="1:48" s="88" customFormat="1" ht="16.5" customHeight="1">
      <c r="A5" s="496" t="s">
        <v>1220</v>
      </c>
      <c r="B5" s="496"/>
      <c r="C5" s="493" t="s">
        <v>3885</v>
      </c>
      <c r="D5" s="493"/>
      <c r="E5" s="493"/>
      <c r="F5" s="493"/>
      <c r="G5" s="493"/>
      <c r="H5" s="493"/>
      <c r="I5" s="493"/>
      <c r="J5" s="493"/>
      <c r="K5" s="493"/>
      <c r="L5" s="493"/>
      <c r="M5" s="493"/>
    </row>
    <row r="6" spans="1:48" s="88" customFormat="1" ht="16.5" customHeight="1">
      <c r="A6" s="496" t="s">
        <v>5785</v>
      </c>
      <c r="B6" s="496"/>
      <c r="C6" s="493" t="s">
        <v>3886</v>
      </c>
      <c r="D6" s="493"/>
      <c r="E6" s="493"/>
      <c r="F6" s="493"/>
      <c r="G6" s="493"/>
      <c r="H6" s="493"/>
      <c r="I6" s="493"/>
      <c r="J6" s="493"/>
      <c r="K6" s="493"/>
      <c r="L6" s="493"/>
      <c r="M6" s="493"/>
    </row>
    <row r="7" spans="1:48" s="88" customFormat="1" ht="16.5" customHeight="1">
      <c r="A7" s="89" t="s">
        <v>1223</v>
      </c>
      <c r="B7" s="92" t="s">
        <v>2200</v>
      </c>
      <c r="C7" s="493" t="s">
        <v>3887</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72.75" customHeight="1">
      <c r="A11" s="89" t="s">
        <v>1229</v>
      </c>
      <c r="B11" s="673" t="s">
        <v>3888</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F15" s="189"/>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F16" s="189"/>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87" t="s">
        <v>3826</v>
      </c>
      <c r="C17" s="13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1" t="s">
        <v>1246</v>
      </c>
      <c r="C18" s="112" t="s">
        <v>3593</v>
      </c>
      <c r="E18" s="94" t="s">
        <v>3863</v>
      </c>
      <c r="F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1843</v>
      </c>
      <c r="C19" s="101">
        <v>56</v>
      </c>
      <c r="E19" s="93">
        <f>AVEDEV(C19:C30)</f>
        <v>8.9166666666666661</v>
      </c>
      <c r="F19" s="108" t="s">
        <v>3889</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1845</v>
      </c>
      <c r="C20" s="101">
        <v>72</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1847</v>
      </c>
      <c r="C21" s="101">
        <v>71</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1848</v>
      </c>
      <c r="C22" s="101">
        <v>68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1849</v>
      </c>
      <c r="C23" s="101">
        <v>70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1850</v>
      </c>
      <c r="C24" s="101">
        <v>85</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1851</v>
      </c>
      <c r="C25" s="101">
        <v>61</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3597</v>
      </c>
      <c r="C26" s="101">
        <v>98</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3598</v>
      </c>
      <c r="C27" s="101">
        <v>52</v>
      </c>
      <c r="D27" s="4"/>
      <c r="E27" s="4"/>
      <c r="F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1852</v>
      </c>
      <c r="C28" s="101">
        <v>74</v>
      </c>
      <c r="D28" s="4"/>
      <c r="E28" s="4"/>
      <c r="F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1" t="s">
        <v>1853</v>
      </c>
      <c r="C29" s="101">
        <v>81</v>
      </c>
      <c r="D29" s="4"/>
      <c r="E29" s="4"/>
      <c r="F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51" t="s">
        <v>1854</v>
      </c>
      <c r="C30" s="107">
        <v>75</v>
      </c>
      <c r="D30" s="4"/>
      <c r="E30" s="4"/>
      <c r="F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456</v>
      </c>
      <c r="B100" s="498"/>
      <c r="C100" s="499"/>
      <c r="D100" s="87"/>
      <c r="E100" s="500" t="str">
        <f>HYPERLINK("#目录!A269","跳转回到目录页")</f>
        <v>跳转回到目录页</v>
      </c>
      <c r="F100" s="501"/>
    </row>
    <row r="101" spans="1:13" s="88" customFormat="1" ht="26.25" customHeight="1">
      <c r="A101" s="502" t="s">
        <v>1216</v>
      </c>
      <c r="B101" s="502"/>
      <c r="C101" s="503" t="s">
        <v>457</v>
      </c>
      <c r="D101" s="503"/>
      <c r="E101" s="503"/>
      <c r="F101" s="503"/>
      <c r="G101" s="503"/>
      <c r="H101" s="503"/>
      <c r="I101" s="503"/>
      <c r="J101" s="503"/>
      <c r="K101" s="503"/>
      <c r="L101" s="503"/>
      <c r="M101" s="503"/>
    </row>
    <row r="102" spans="1:13" s="88" customFormat="1" ht="16.5" customHeight="1">
      <c r="A102" s="496" t="s">
        <v>1217</v>
      </c>
      <c r="B102" s="496"/>
      <c r="C102" s="493" t="s">
        <v>3890</v>
      </c>
      <c r="D102" s="493"/>
      <c r="E102" s="493"/>
      <c r="F102" s="493"/>
      <c r="G102" s="493"/>
      <c r="H102" s="493"/>
      <c r="I102" s="493"/>
      <c r="J102" s="493"/>
      <c r="K102" s="493"/>
      <c r="L102" s="493"/>
      <c r="M102" s="493"/>
    </row>
    <row r="103" spans="1:13" s="88" customFormat="1" ht="16.5" customHeight="1">
      <c r="A103" s="496" t="s">
        <v>5786</v>
      </c>
      <c r="B103" s="496"/>
      <c r="C103" s="497" t="s">
        <v>457</v>
      </c>
      <c r="D103" s="497"/>
      <c r="E103" s="497"/>
      <c r="F103" s="497"/>
      <c r="G103" s="497"/>
      <c r="H103" s="497"/>
      <c r="I103" s="497"/>
      <c r="J103" s="497"/>
      <c r="K103" s="497"/>
      <c r="L103" s="497"/>
      <c r="M103" s="497"/>
    </row>
    <row r="104" spans="1:13" s="88" customFormat="1" ht="16.5" customHeight="1">
      <c r="A104" s="496" t="s">
        <v>1220</v>
      </c>
      <c r="B104" s="496"/>
      <c r="C104" s="493" t="s">
        <v>3891</v>
      </c>
      <c r="D104" s="493"/>
      <c r="E104" s="493"/>
      <c r="F104" s="493"/>
      <c r="G104" s="493"/>
      <c r="H104" s="493"/>
      <c r="I104" s="493"/>
      <c r="J104" s="493"/>
      <c r="K104" s="493"/>
      <c r="L104" s="493"/>
      <c r="M104" s="493"/>
    </row>
    <row r="105" spans="1:13" s="88" customFormat="1" ht="16.5" customHeight="1">
      <c r="A105" s="496" t="s">
        <v>5785</v>
      </c>
      <c r="B105" s="496"/>
      <c r="C105" s="493" t="s">
        <v>3892</v>
      </c>
      <c r="D105" s="493"/>
      <c r="E105" s="493"/>
      <c r="F105" s="493"/>
      <c r="G105" s="493"/>
      <c r="H105" s="493"/>
      <c r="I105" s="493"/>
      <c r="J105" s="493"/>
      <c r="K105" s="493"/>
      <c r="L105" s="493"/>
      <c r="M105" s="493"/>
    </row>
    <row r="106" spans="1:13" s="88" customFormat="1" ht="16.5" customHeight="1">
      <c r="A106" s="89" t="s">
        <v>1223</v>
      </c>
      <c r="B106" s="92" t="s">
        <v>2200</v>
      </c>
      <c r="C106" s="493" t="s">
        <v>3893</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46.5" customHeight="1">
      <c r="A110" s="89" t="s">
        <v>1229</v>
      </c>
      <c r="B110" s="673" t="s">
        <v>3894</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6" s="93" customFormat="1" ht="16.5" customHeight="1">
      <c r="A113" s="94" t="s">
        <v>1232</v>
      </c>
      <c r="B113" s="93" t="s">
        <v>1773</v>
      </c>
    </row>
    <row r="114" spans="1:6" ht="16.5" customHeight="1"/>
    <row r="115" spans="1:6" ht="16.5" customHeight="1"/>
    <row r="116" spans="1:6" ht="16.5" customHeight="1">
      <c r="B116" s="187" t="s">
        <v>3826</v>
      </c>
      <c r="C116" s="138"/>
      <c r="D116" s="93"/>
      <c r="E116" s="93"/>
      <c r="F116" s="93"/>
    </row>
    <row r="117" spans="1:6" ht="16.5" customHeight="1">
      <c r="B117" s="111" t="s">
        <v>1246</v>
      </c>
      <c r="C117" s="112" t="s">
        <v>3593</v>
      </c>
      <c r="D117" s="93"/>
      <c r="E117" s="94" t="s">
        <v>3863</v>
      </c>
      <c r="F117" s="104" t="s">
        <v>1238</v>
      </c>
    </row>
    <row r="118" spans="1:6" ht="16.5" customHeight="1">
      <c r="B118" s="111" t="s">
        <v>1843</v>
      </c>
      <c r="C118" s="101">
        <v>56</v>
      </c>
      <c r="D118" s="93"/>
      <c r="E118" s="93">
        <f>DEVSQ(C118:C129)</f>
        <v>1736.9166666666665</v>
      </c>
      <c r="F118" s="108" t="s">
        <v>3895</v>
      </c>
    </row>
    <row r="119" spans="1:6" ht="16.5" customHeight="1">
      <c r="B119" s="111" t="s">
        <v>1845</v>
      </c>
      <c r="C119" s="101">
        <v>72</v>
      </c>
      <c r="D119" s="93"/>
      <c r="E119" s="93"/>
      <c r="F119" s="93"/>
    </row>
    <row r="120" spans="1:6" ht="16.5" customHeight="1">
      <c r="B120" s="111" t="s">
        <v>1847</v>
      </c>
      <c r="C120" s="101">
        <v>71</v>
      </c>
      <c r="D120" s="93"/>
      <c r="E120" s="93"/>
      <c r="F120" s="93"/>
    </row>
    <row r="121" spans="1:6" ht="16.5" customHeight="1">
      <c r="B121" s="111" t="s">
        <v>1848</v>
      </c>
      <c r="C121" s="101">
        <v>68</v>
      </c>
      <c r="D121" s="93"/>
      <c r="E121" s="93"/>
      <c r="F121" s="93"/>
    </row>
    <row r="122" spans="1:6" ht="16.5" customHeight="1">
      <c r="B122" s="111" t="s">
        <v>1849</v>
      </c>
      <c r="C122" s="101">
        <v>70</v>
      </c>
      <c r="D122" s="93"/>
      <c r="E122" s="93"/>
      <c r="F122" s="93"/>
    </row>
    <row r="123" spans="1:6" ht="16.5" customHeight="1">
      <c r="B123" s="111" t="s">
        <v>1850</v>
      </c>
      <c r="C123" s="101">
        <v>85</v>
      </c>
      <c r="D123" s="93"/>
      <c r="E123" s="93"/>
      <c r="F123" s="93"/>
    </row>
    <row r="124" spans="1:6" ht="16.5" customHeight="1">
      <c r="B124" s="111" t="s">
        <v>1851</v>
      </c>
      <c r="C124" s="101">
        <v>61</v>
      </c>
      <c r="D124" s="93"/>
      <c r="E124" s="93"/>
      <c r="F124" s="93"/>
    </row>
    <row r="125" spans="1:6" ht="16.5" customHeight="1">
      <c r="B125" s="111" t="s">
        <v>3597</v>
      </c>
      <c r="C125" s="101">
        <v>98</v>
      </c>
      <c r="D125" s="93"/>
      <c r="E125" s="93"/>
      <c r="F125" s="93"/>
    </row>
    <row r="126" spans="1:6" ht="16.5" customHeight="1">
      <c r="B126" s="111" t="s">
        <v>3598</v>
      </c>
      <c r="C126" s="101">
        <v>52</v>
      </c>
    </row>
    <row r="127" spans="1:6" ht="16.5" customHeight="1">
      <c r="B127" s="111" t="s">
        <v>1852</v>
      </c>
      <c r="C127" s="101">
        <v>74</v>
      </c>
    </row>
    <row r="128" spans="1:6" ht="16.5" customHeight="1">
      <c r="B128" s="111" t="s">
        <v>1853</v>
      </c>
      <c r="C128" s="101">
        <v>81</v>
      </c>
    </row>
    <row r="129" spans="2:3" ht="16.5" customHeight="1">
      <c r="B129" s="151" t="s">
        <v>1854</v>
      </c>
      <c r="C129" s="107">
        <v>75</v>
      </c>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6"/>
  <dimension ref="A1:AV22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459</v>
      </c>
      <c r="B1" s="498"/>
      <c r="C1" s="499"/>
      <c r="D1" s="87"/>
      <c r="E1" s="500" t="str">
        <f>HYPERLINK("#目录!A271","跳转回到目录页")</f>
        <v>跳转回到目录页</v>
      </c>
      <c r="F1" s="501"/>
    </row>
    <row r="2" spans="1:48" s="88" customFormat="1" ht="26.25" customHeight="1">
      <c r="A2" s="502" t="s">
        <v>1216</v>
      </c>
      <c r="B2" s="502"/>
      <c r="C2" s="503" t="s">
        <v>460</v>
      </c>
      <c r="D2" s="503"/>
      <c r="E2" s="503"/>
      <c r="F2" s="503"/>
      <c r="G2" s="503"/>
      <c r="H2" s="503"/>
      <c r="I2" s="503"/>
      <c r="J2" s="503"/>
      <c r="K2" s="503"/>
      <c r="L2" s="503"/>
      <c r="M2" s="503"/>
    </row>
    <row r="3" spans="1:48" s="88" customFormat="1" ht="16.5" customHeight="1">
      <c r="A3" s="496" t="s">
        <v>1217</v>
      </c>
      <c r="B3" s="496"/>
      <c r="C3" s="493" t="s">
        <v>3896</v>
      </c>
      <c r="D3" s="493"/>
      <c r="E3" s="493"/>
      <c r="F3" s="493"/>
      <c r="G3" s="493"/>
      <c r="H3" s="493"/>
      <c r="I3" s="493"/>
      <c r="J3" s="493"/>
      <c r="K3" s="493"/>
      <c r="L3" s="493"/>
      <c r="M3" s="493"/>
    </row>
    <row r="4" spans="1:48" s="88" customFormat="1" ht="16.5" customHeight="1">
      <c r="A4" s="496" t="s">
        <v>5786</v>
      </c>
      <c r="B4" s="496"/>
      <c r="C4" s="497" t="s">
        <v>460</v>
      </c>
      <c r="D4" s="497"/>
      <c r="E4" s="497"/>
      <c r="F4" s="497"/>
      <c r="G4" s="497"/>
      <c r="H4" s="497"/>
      <c r="I4" s="497"/>
      <c r="J4" s="497"/>
      <c r="K4" s="497"/>
      <c r="L4" s="497"/>
      <c r="M4" s="497"/>
    </row>
    <row r="5" spans="1:48" s="88" customFormat="1" ht="16.5" customHeight="1">
      <c r="A5" s="496" t="s">
        <v>1220</v>
      </c>
      <c r="B5" s="496"/>
      <c r="C5" s="493" t="s">
        <v>3897</v>
      </c>
      <c r="D5" s="493"/>
      <c r="E5" s="493"/>
      <c r="F5" s="493"/>
      <c r="G5" s="493"/>
      <c r="H5" s="493"/>
      <c r="I5" s="493"/>
      <c r="J5" s="493"/>
      <c r="K5" s="493"/>
      <c r="L5" s="493"/>
      <c r="M5" s="493"/>
    </row>
    <row r="6" spans="1:48" s="88" customFormat="1" ht="16.5" customHeight="1">
      <c r="A6" s="496" t="s">
        <v>5785</v>
      </c>
      <c r="B6" s="496"/>
      <c r="C6" s="493" t="s">
        <v>3898</v>
      </c>
      <c r="D6" s="493"/>
      <c r="E6" s="493"/>
      <c r="F6" s="493"/>
      <c r="G6" s="493"/>
      <c r="H6" s="493"/>
      <c r="I6" s="493"/>
      <c r="J6" s="493"/>
      <c r="K6" s="493"/>
      <c r="L6" s="493"/>
      <c r="M6" s="493"/>
    </row>
    <row r="7" spans="1:48" s="88" customFormat="1" ht="16.5" customHeight="1">
      <c r="A7" s="89" t="s">
        <v>1223</v>
      </c>
      <c r="B7" s="92" t="s">
        <v>2418</v>
      </c>
      <c r="C7" s="493" t="s">
        <v>3899</v>
      </c>
      <c r="D7" s="493"/>
      <c r="E7" s="493"/>
      <c r="F7" s="493"/>
      <c r="G7" s="493"/>
      <c r="H7" s="493"/>
      <c r="I7" s="493"/>
      <c r="J7" s="493"/>
      <c r="K7" s="493"/>
      <c r="L7" s="493"/>
      <c r="M7" s="493"/>
    </row>
    <row r="8" spans="1:48" s="88" customFormat="1" ht="16.5" customHeight="1">
      <c r="A8" s="89"/>
      <c r="B8" s="92" t="s">
        <v>3900</v>
      </c>
      <c r="C8" s="493" t="s">
        <v>3901</v>
      </c>
      <c r="D8" s="493"/>
      <c r="E8" s="493"/>
      <c r="F8" s="493"/>
      <c r="G8" s="493"/>
      <c r="H8" s="493"/>
      <c r="I8" s="493"/>
      <c r="J8" s="493"/>
      <c r="K8" s="493"/>
      <c r="L8" s="493"/>
      <c r="M8" s="493"/>
    </row>
    <row r="9" spans="1:48" s="88" customFormat="1" ht="24.75" customHeight="1">
      <c r="A9" s="89"/>
      <c r="B9" s="90" t="s">
        <v>3902</v>
      </c>
      <c r="C9" s="493" t="s">
        <v>3903</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42.75" customHeight="1">
      <c r="A11" s="89" t="s">
        <v>1229</v>
      </c>
      <c r="B11" s="673" t="s">
        <v>3904</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F15" s="93" t="s">
        <v>3592</v>
      </c>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187" t="s">
        <v>3826</v>
      </c>
      <c r="C17" s="138"/>
      <c r="F17" s="93" t="s">
        <v>3592</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1" t="s">
        <v>1246</v>
      </c>
      <c r="C18" s="112" t="s">
        <v>3593</v>
      </c>
      <c r="D18" s="93" t="s">
        <v>3905</v>
      </c>
      <c r="E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1843</v>
      </c>
      <c r="C19" s="101">
        <v>56</v>
      </c>
      <c r="D19" s="93">
        <f>STANDARDIZE(C19,C31,C32)</f>
        <v>-1.3229799212366737</v>
      </c>
      <c r="E19" s="108" t="s">
        <v>3906</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1845</v>
      </c>
      <c r="C20" s="101">
        <v>72</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1847</v>
      </c>
      <c r="C21" s="101">
        <v>71</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1848</v>
      </c>
      <c r="C22" s="101">
        <v>68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1849</v>
      </c>
      <c r="C23" s="101">
        <v>70</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1850</v>
      </c>
      <c r="C24" s="101">
        <v>85</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1851</v>
      </c>
      <c r="C25" s="101">
        <v>61</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3597</v>
      </c>
      <c r="C26" s="101">
        <v>98</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3598</v>
      </c>
      <c r="C27" s="101">
        <v>52</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11" t="s">
        <v>1852</v>
      </c>
      <c r="C28" s="101">
        <v>74</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11" t="s">
        <v>1853</v>
      </c>
      <c r="C29" s="101">
        <v>81</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151" t="s">
        <v>1854</v>
      </c>
      <c r="C30" s="107">
        <v>75</v>
      </c>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136" t="s">
        <v>3907</v>
      </c>
      <c r="C31" s="93">
        <f>AVERAGE(C19:C30)</f>
        <v>71.916666666666671</v>
      </c>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136" t="s">
        <v>3863</v>
      </c>
      <c r="C32" s="93">
        <f>STDEVP(C19:C30)</f>
        <v>12.030920810792312</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462</v>
      </c>
      <c r="B100" s="498"/>
      <c r="C100" s="499"/>
      <c r="D100" s="87"/>
      <c r="E100" s="500" t="str">
        <f>HYPERLINK("#目录!A273","跳转回到目录页")</f>
        <v>跳转回到目录页</v>
      </c>
      <c r="F100" s="501"/>
    </row>
    <row r="101" spans="1:13" s="88" customFormat="1" ht="26.25" customHeight="1">
      <c r="A101" s="502" t="s">
        <v>1216</v>
      </c>
      <c r="B101" s="502"/>
      <c r="C101" s="503" t="s">
        <v>463</v>
      </c>
      <c r="D101" s="503"/>
      <c r="E101" s="503"/>
      <c r="F101" s="503"/>
      <c r="G101" s="503"/>
      <c r="H101" s="503"/>
      <c r="I101" s="503"/>
      <c r="J101" s="503"/>
      <c r="K101" s="503"/>
      <c r="L101" s="503"/>
      <c r="M101" s="503"/>
    </row>
    <row r="102" spans="1:13" s="88" customFormat="1" ht="16.5" customHeight="1">
      <c r="A102" s="496" t="s">
        <v>1217</v>
      </c>
      <c r="B102" s="496"/>
      <c r="C102" s="493" t="s">
        <v>3908</v>
      </c>
      <c r="D102" s="493"/>
      <c r="E102" s="493"/>
      <c r="F102" s="493"/>
      <c r="G102" s="493"/>
      <c r="H102" s="493"/>
      <c r="I102" s="493"/>
      <c r="J102" s="493"/>
      <c r="K102" s="493"/>
      <c r="L102" s="493"/>
      <c r="M102" s="493"/>
    </row>
    <row r="103" spans="1:13" s="88" customFormat="1" ht="16.5" customHeight="1">
      <c r="A103" s="496" t="s">
        <v>5786</v>
      </c>
      <c r="B103" s="496"/>
      <c r="C103" s="497" t="s">
        <v>463</v>
      </c>
      <c r="D103" s="497"/>
      <c r="E103" s="497"/>
      <c r="F103" s="497"/>
      <c r="G103" s="497"/>
      <c r="H103" s="497"/>
      <c r="I103" s="497"/>
      <c r="J103" s="497"/>
      <c r="K103" s="497"/>
      <c r="L103" s="497"/>
      <c r="M103" s="497"/>
    </row>
    <row r="104" spans="1:13" s="88" customFormat="1" ht="16.5" customHeight="1">
      <c r="A104" s="496" t="s">
        <v>1220</v>
      </c>
      <c r="B104" s="496"/>
      <c r="C104" s="493" t="s">
        <v>3909</v>
      </c>
      <c r="D104" s="493"/>
      <c r="E104" s="493"/>
      <c r="F104" s="493"/>
      <c r="G104" s="493"/>
      <c r="H104" s="493"/>
      <c r="I104" s="493"/>
      <c r="J104" s="493"/>
      <c r="K104" s="493"/>
      <c r="L104" s="493"/>
      <c r="M104" s="493"/>
    </row>
    <row r="105" spans="1:13" s="88" customFormat="1" ht="16.5" customHeight="1">
      <c r="A105" s="496" t="s">
        <v>5785</v>
      </c>
      <c r="B105" s="496"/>
      <c r="C105" s="493" t="s">
        <v>3910</v>
      </c>
      <c r="D105" s="493"/>
      <c r="E105" s="493"/>
      <c r="F105" s="493"/>
      <c r="G105" s="493"/>
      <c r="H105" s="493"/>
      <c r="I105" s="493"/>
      <c r="J105" s="493"/>
      <c r="K105" s="493"/>
      <c r="L105" s="493"/>
      <c r="M105" s="493"/>
    </row>
    <row r="106" spans="1:13" s="88" customFormat="1" ht="16.5" customHeight="1">
      <c r="A106" s="89" t="s">
        <v>1223</v>
      </c>
      <c r="B106" s="92" t="s">
        <v>2200</v>
      </c>
      <c r="C106" s="493" t="s">
        <v>3911</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33.5" customHeight="1">
      <c r="A110" s="89" t="s">
        <v>1229</v>
      </c>
      <c r="B110" s="673" t="s">
        <v>3912</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6" s="93" customFormat="1" ht="16.5" customHeight="1">
      <c r="A113" s="94" t="s">
        <v>1232</v>
      </c>
      <c r="B113" s="93" t="s">
        <v>1773</v>
      </c>
      <c r="F113" s="4"/>
    </row>
    <row r="114" spans="1:6" ht="16.5" customHeight="1"/>
    <row r="115" spans="1:6" ht="16.5" customHeight="1"/>
    <row r="116" spans="1:6" ht="16.5" customHeight="1">
      <c r="B116" s="187" t="s">
        <v>3826</v>
      </c>
      <c r="C116" s="138"/>
      <c r="D116" s="93"/>
      <c r="E116" s="93"/>
    </row>
    <row r="117" spans="1:6" ht="16.5" customHeight="1">
      <c r="B117" s="111" t="s">
        <v>1246</v>
      </c>
      <c r="C117" s="112" t="s">
        <v>3593</v>
      </c>
      <c r="D117" s="93" t="s">
        <v>3913</v>
      </c>
      <c r="E117" s="104" t="s">
        <v>1238</v>
      </c>
    </row>
    <row r="118" spans="1:6" ht="16.5" customHeight="1">
      <c r="B118" s="111" t="s">
        <v>1843</v>
      </c>
      <c r="C118" s="101">
        <v>56</v>
      </c>
      <c r="D118" s="93">
        <f>KURT(C118:C129)</f>
        <v>0.61226219976022023</v>
      </c>
      <c r="E118" s="108" t="s">
        <v>3914</v>
      </c>
    </row>
    <row r="119" spans="1:6" ht="16.5" customHeight="1">
      <c r="B119" s="111" t="s">
        <v>1845</v>
      </c>
      <c r="C119" s="101">
        <v>72</v>
      </c>
      <c r="D119" s="93"/>
      <c r="E119" s="93"/>
    </row>
    <row r="120" spans="1:6" ht="16.5" customHeight="1">
      <c r="B120" s="111" t="s">
        <v>1847</v>
      </c>
      <c r="C120" s="101">
        <v>71</v>
      </c>
      <c r="D120" s="93"/>
      <c r="E120" s="93"/>
    </row>
    <row r="121" spans="1:6" ht="16.5" customHeight="1">
      <c r="B121" s="111" t="s">
        <v>1848</v>
      </c>
      <c r="C121" s="101">
        <v>68</v>
      </c>
      <c r="D121" s="93"/>
      <c r="E121" s="93"/>
    </row>
    <row r="122" spans="1:6" ht="16.5" customHeight="1">
      <c r="B122" s="111" t="s">
        <v>1849</v>
      </c>
      <c r="C122" s="101">
        <v>70</v>
      </c>
      <c r="D122" s="93"/>
      <c r="E122" s="93"/>
    </row>
    <row r="123" spans="1:6" ht="16.5" customHeight="1">
      <c r="B123" s="111" t="s">
        <v>1850</v>
      </c>
      <c r="C123" s="101">
        <v>85</v>
      </c>
      <c r="D123" s="93"/>
      <c r="E123" s="93"/>
    </row>
    <row r="124" spans="1:6" ht="16.5" customHeight="1">
      <c r="B124" s="111" t="s">
        <v>1851</v>
      </c>
      <c r="C124" s="101">
        <v>61</v>
      </c>
      <c r="D124" s="93"/>
      <c r="E124" s="93"/>
    </row>
    <row r="125" spans="1:6" ht="16.5" customHeight="1">
      <c r="B125" s="111" t="s">
        <v>3597</v>
      </c>
      <c r="C125" s="101">
        <v>98</v>
      </c>
      <c r="D125" s="93"/>
      <c r="E125" s="93"/>
    </row>
    <row r="126" spans="1:6" ht="16.5" customHeight="1">
      <c r="B126" s="111" t="s">
        <v>3598</v>
      </c>
      <c r="C126" s="101">
        <v>52</v>
      </c>
      <c r="D126" s="93"/>
      <c r="E126" s="93"/>
    </row>
    <row r="127" spans="1:6" ht="16.5" customHeight="1">
      <c r="B127" s="111" t="s">
        <v>1852</v>
      </c>
      <c r="C127" s="101">
        <v>74</v>
      </c>
      <c r="D127" s="93"/>
      <c r="E127" s="93"/>
    </row>
    <row r="128" spans="1:6" ht="16.5" customHeight="1">
      <c r="B128" s="111" t="s">
        <v>1853</v>
      </c>
      <c r="C128" s="101">
        <v>81</v>
      </c>
      <c r="D128" s="93"/>
      <c r="E128" s="93"/>
    </row>
    <row r="129" spans="2:5" ht="16.5" customHeight="1">
      <c r="B129" s="151" t="s">
        <v>1854</v>
      </c>
      <c r="C129" s="107">
        <v>75</v>
      </c>
      <c r="D129" s="93"/>
      <c r="E129" s="93"/>
    </row>
    <row r="130" spans="2:5" ht="16.5" customHeight="1"/>
    <row r="200" spans="1:13" s="88" customFormat="1" ht="26.25" customHeight="1">
      <c r="A200" s="498" t="s">
        <v>464</v>
      </c>
      <c r="B200" s="498"/>
      <c r="C200" s="499"/>
      <c r="D200" s="87"/>
      <c r="E200" s="500" t="str">
        <f>HYPERLINK("#目录!A274","跳转回到目录页")</f>
        <v>跳转回到目录页</v>
      </c>
      <c r="F200" s="501"/>
    </row>
    <row r="201" spans="1:13" s="88" customFormat="1" ht="26.25" customHeight="1">
      <c r="A201" s="502" t="s">
        <v>1216</v>
      </c>
      <c r="B201" s="502"/>
      <c r="C201" s="503" t="s">
        <v>465</v>
      </c>
      <c r="D201" s="503"/>
      <c r="E201" s="503"/>
      <c r="F201" s="503"/>
      <c r="G201" s="503"/>
      <c r="H201" s="503"/>
      <c r="I201" s="503"/>
      <c r="J201" s="503"/>
      <c r="K201" s="503"/>
      <c r="L201" s="503"/>
      <c r="M201" s="503"/>
    </row>
    <row r="202" spans="1:13" s="88" customFormat="1" ht="24.75" customHeight="1">
      <c r="A202" s="496" t="s">
        <v>1217</v>
      </c>
      <c r="B202" s="496"/>
      <c r="C202" s="493" t="s">
        <v>3915</v>
      </c>
      <c r="D202" s="493"/>
      <c r="E202" s="493"/>
      <c r="F202" s="493"/>
      <c r="G202" s="493"/>
      <c r="H202" s="493"/>
      <c r="I202" s="493"/>
      <c r="J202" s="493"/>
      <c r="K202" s="493"/>
      <c r="L202" s="493"/>
      <c r="M202" s="493"/>
    </row>
    <row r="203" spans="1:13" s="88" customFormat="1" ht="16.5" customHeight="1">
      <c r="A203" s="496" t="s">
        <v>5786</v>
      </c>
      <c r="B203" s="496"/>
      <c r="C203" s="497" t="s">
        <v>465</v>
      </c>
      <c r="D203" s="497"/>
      <c r="E203" s="497"/>
      <c r="F203" s="497"/>
      <c r="G203" s="497"/>
      <c r="H203" s="497"/>
      <c r="I203" s="497"/>
      <c r="J203" s="497"/>
      <c r="K203" s="497"/>
      <c r="L203" s="497"/>
      <c r="M203" s="497"/>
    </row>
    <row r="204" spans="1:13" s="88" customFormat="1" ht="16.5" customHeight="1">
      <c r="A204" s="496" t="s">
        <v>1220</v>
      </c>
      <c r="B204" s="496"/>
      <c r="C204" s="493" t="s">
        <v>3916</v>
      </c>
      <c r="D204" s="493"/>
      <c r="E204" s="493"/>
      <c r="F204" s="493"/>
      <c r="G204" s="493"/>
      <c r="H204" s="493"/>
      <c r="I204" s="493"/>
      <c r="J204" s="493"/>
      <c r="K204" s="493"/>
      <c r="L204" s="493"/>
      <c r="M204" s="493"/>
    </row>
    <row r="205" spans="1:13" s="88" customFormat="1" ht="16.5" customHeight="1">
      <c r="A205" s="496" t="s">
        <v>5785</v>
      </c>
      <c r="B205" s="496"/>
      <c r="C205" s="493" t="s">
        <v>3917</v>
      </c>
      <c r="D205" s="493"/>
      <c r="E205" s="493"/>
      <c r="F205" s="493"/>
      <c r="G205" s="493"/>
      <c r="H205" s="493"/>
      <c r="I205" s="493"/>
      <c r="J205" s="493"/>
      <c r="K205" s="493"/>
      <c r="L205" s="493"/>
      <c r="M205" s="493"/>
    </row>
    <row r="206" spans="1:13" s="88" customFormat="1" ht="16.5" customHeight="1">
      <c r="A206" s="89" t="s">
        <v>1223</v>
      </c>
      <c r="B206" s="92" t="s">
        <v>2200</v>
      </c>
      <c r="C206" s="493" t="s">
        <v>3918</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70.5" customHeight="1">
      <c r="A210" s="89" t="s">
        <v>1229</v>
      </c>
      <c r="B210" s="673" t="s">
        <v>3919</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row r="216" spans="1:13" ht="16.5" customHeight="1">
      <c r="B216" s="187" t="s">
        <v>3826</v>
      </c>
      <c r="C216" s="138"/>
      <c r="D216" s="93"/>
      <c r="E216" s="93"/>
    </row>
    <row r="217" spans="1:13" ht="16.5" customHeight="1">
      <c r="B217" s="111" t="s">
        <v>1246</v>
      </c>
      <c r="C217" s="112" t="s">
        <v>3593</v>
      </c>
      <c r="D217" s="94" t="s">
        <v>3920</v>
      </c>
      <c r="E217" s="104" t="s">
        <v>1238</v>
      </c>
    </row>
    <row r="218" spans="1:13" ht="16.5" customHeight="1">
      <c r="B218" s="111" t="s">
        <v>1843</v>
      </c>
      <c r="C218" s="101">
        <v>56</v>
      </c>
      <c r="D218" s="93">
        <f>SKEW(C218:C229)</f>
        <v>0.41077270357522067</v>
      </c>
      <c r="E218" s="108" t="s">
        <v>3921</v>
      </c>
    </row>
    <row r="219" spans="1:13" ht="16.5" customHeight="1">
      <c r="B219" s="111" t="s">
        <v>1845</v>
      </c>
      <c r="C219" s="101">
        <v>72</v>
      </c>
      <c r="D219" s="93"/>
      <c r="E219" s="93"/>
    </row>
    <row r="220" spans="1:13" ht="16.5" customHeight="1">
      <c r="B220" s="111" t="s">
        <v>1847</v>
      </c>
      <c r="C220" s="101">
        <v>71</v>
      </c>
      <c r="D220" s="93"/>
      <c r="E220" s="93"/>
    </row>
    <row r="221" spans="1:13" ht="16.5" customHeight="1">
      <c r="B221" s="111" t="s">
        <v>1848</v>
      </c>
      <c r="C221" s="101">
        <v>68</v>
      </c>
      <c r="D221" s="93"/>
      <c r="E221" s="93"/>
    </row>
    <row r="222" spans="1:13" ht="16.5" customHeight="1">
      <c r="B222" s="111" t="s">
        <v>1849</v>
      </c>
      <c r="C222" s="101">
        <v>70</v>
      </c>
      <c r="D222" s="93"/>
      <c r="E222" s="93"/>
    </row>
    <row r="223" spans="1:13" ht="16.5" customHeight="1">
      <c r="B223" s="111" t="s">
        <v>1850</v>
      </c>
      <c r="C223" s="101">
        <v>85</v>
      </c>
      <c r="D223" s="93"/>
      <c r="E223" s="93"/>
    </row>
    <row r="224" spans="1:13" ht="16.5" customHeight="1">
      <c r="B224" s="111" t="s">
        <v>1851</v>
      </c>
      <c r="C224" s="101">
        <v>61</v>
      </c>
      <c r="D224" s="93"/>
      <c r="E224" s="93"/>
    </row>
    <row r="225" spans="2:5" ht="16.5" customHeight="1">
      <c r="B225" s="111" t="s">
        <v>3597</v>
      </c>
      <c r="C225" s="101">
        <v>98</v>
      </c>
      <c r="D225" s="93"/>
      <c r="E225" s="93"/>
    </row>
    <row r="226" spans="2:5" ht="16.5" customHeight="1">
      <c r="B226" s="111" t="s">
        <v>3598</v>
      </c>
      <c r="C226" s="101">
        <v>52</v>
      </c>
      <c r="D226" s="93"/>
      <c r="E226" s="93"/>
    </row>
    <row r="227" spans="2:5" ht="16.5" customHeight="1">
      <c r="B227" s="111" t="s">
        <v>1852</v>
      </c>
      <c r="C227" s="101">
        <v>74</v>
      </c>
      <c r="D227" s="93"/>
      <c r="E227" s="93"/>
    </row>
    <row r="228" spans="2:5" ht="16.5" customHeight="1">
      <c r="B228" s="111" t="s">
        <v>1853</v>
      </c>
      <c r="C228" s="101">
        <v>81</v>
      </c>
      <c r="D228" s="93"/>
      <c r="E228" s="93"/>
    </row>
    <row r="229" spans="2:5" ht="16.5" customHeight="1">
      <c r="B229" s="151" t="s">
        <v>1854</v>
      </c>
      <c r="C229" s="107">
        <v>75</v>
      </c>
      <c r="D229" s="93"/>
      <c r="E229" s="93"/>
    </row>
  </sheetData>
  <mergeCells count="54">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pageSetup paperSize="9" orientation="portrait" horizontalDpi="0" verticalDpi="0"/>
  <headerFooter scaleWithDoc="0"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7"/>
  <dimension ref="A1:AV830"/>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467</v>
      </c>
      <c r="B1" s="498"/>
      <c r="C1" s="499"/>
      <c r="D1" s="87"/>
      <c r="E1" s="500" t="str">
        <f>HYPERLINK("#目录!A276","跳转回到目录页")</f>
        <v>跳转回到目录页</v>
      </c>
      <c r="F1" s="501"/>
    </row>
    <row r="2" spans="1:48" s="88" customFormat="1" ht="26.25" customHeight="1">
      <c r="A2" s="502" t="s">
        <v>1216</v>
      </c>
      <c r="B2" s="502"/>
      <c r="C2" s="503" t="s">
        <v>468</v>
      </c>
      <c r="D2" s="503"/>
      <c r="E2" s="503"/>
      <c r="F2" s="503"/>
      <c r="G2" s="503"/>
      <c r="H2" s="503"/>
      <c r="I2" s="503"/>
      <c r="J2" s="503"/>
      <c r="K2" s="503"/>
      <c r="L2" s="503"/>
      <c r="M2" s="503"/>
    </row>
    <row r="3" spans="1:48" s="88" customFormat="1" ht="24.75" customHeight="1">
      <c r="A3" s="496" t="s">
        <v>1217</v>
      </c>
      <c r="B3" s="496"/>
      <c r="C3" s="493" t="s">
        <v>3922</v>
      </c>
      <c r="D3" s="493"/>
      <c r="E3" s="493"/>
      <c r="F3" s="493"/>
      <c r="G3" s="493"/>
      <c r="H3" s="493"/>
      <c r="I3" s="493"/>
      <c r="J3" s="493"/>
      <c r="K3" s="493"/>
      <c r="L3" s="493"/>
      <c r="M3" s="493"/>
    </row>
    <row r="4" spans="1:48" s="88" customFormat="1" ht="16.5" customHeight="1">
      <c r="A4" s="496" t="s">
        <v>5786</v>
      </c>
      <c r="B4" s="496"/>
      <c r="C4" s="497" t="s">
        <v>3923</v>
      </c>
      <c r="D4" s="497"/>
      <c r="E4" s="497"/>
      <c r="F4" s="497"/>
      <c r="G4" s="497"/>
      <c r="H4" s="497"/>
      <c r="I4" s="497"/>
      <c r="J4" s="497"/>
      <c r="K4" s="497"/>
      <c r="L4" s="497"/>
      <c r="M4" s="497"/>
    </row>
    <row r="5" spans="1:48" s="88" customFormat="1" ht="16.5" customHeight="1">
      <c r="A5" s="496" t="s">
        <v>1220</v>
      </c>
      <c r="B5" s="496"/>
      <c r="C5" s="493" t="s">
        <v>3924</v>
      </c>
      <c r="D5" s="493"/>
      <c r="E5" s="493"/>
      <c r="F5" s="493"/>
      <c r="G5" s="493"/>
      <c r="H5" s="493"/>
      <c r="I5" s="493"/>
      <c r="J5" s="493"/>
      <c r="K5" s="493"/>
      <c r="L5" s="493"/>
      <c r="M5" s="493"/>
    </row>
    <row r="6" spans="1:48" s="88" customFormat="1" ht="16.5" customHeight="1">
      <c r="A6" s="496" t="s">
        <v>5785</v>
      </c>
      <c r="B6" s="496"/>
      <c r="C6" s="493" t="s">
        <v>3925</v>
      </c>
      <c r="D6" s="493"/>
      <c r="E6" s="493"/>
      <c r="F6" s="493"/>
      <c r="G6" s="493"/>
      <c r="H6" s="493"/>
      <c r="I6" s="493"/>
      <c r="J6" s="493"/>
      <c r="K6" s="493"/>
      <c r="L6" s="493"/>
      <c r="M6" s="493"/>
    </row>
    <row r="7" spans="1:48" s="88" customFormat="1" ht="16.5" customHeight="1">
      <c r="A7" s="89" t="s">
        <v>1223</v>
      </c>
      <c r="B7" s="92" t="s">
        <v>2418</v>
      </c>
      <c r="C7" s="493" t="s">
        <v>3926</v>
      </c>
      <c r="D7" s="493"/>
      <c r="E7" s="493"/>
      <c r="F7" s="493"/>
      <c r="G7" s="493"/>
      <c r="H7" s="493"/>
      <c r="I7" s="493"/>
      <c r="J7" s="493"/>
      <c r="K7" s="493"/>
      <c r="L7" s="493"/>
      <c r="M7" s="493"/>
    </row>
    <row r="8" spans="1:48" s="88" customFormat="1" ht="16.5" customHeight="1">
      <c r="A8" s="89"/>
      <c r="B8" s="92" t="s">
        <v>3927</v>
      </c>
      <c r="C8" s="493" t="s">
        <v>3928</v>
      </c>
      <c r="D8" s="493"/>
      <c r="E8" s="493"/>
      <c r="F8" s="493"/>
      <c r="G8" s="493"/>
      <c r="H8" s="493"/>
      <c r="I8" s="493"/>
      <c r="J8" s="493"/>
      <c r="K8" s="493"/>
      <c r="L8" s="493"/>
      <c r="M8" s="493"/>
    </row>
    <row r="9" spans="1:48" s="88" customFormat="1" ht="16.5" customHeight="1">
      <c r="A9" s="89"/>
      <c r="B9" s="90" t="s">
        <v>3929</v>
      </c>
      <c r="C9" s="493" t="s">
        <v>3930</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11.75" customHeight="1">
      <c r="A11" s="89" t="s">
        <v>1229</v>
      </c>
      <c r="B11" s="673" t="s">
        <v>3931</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F16" s="93" t="s">
        <v>3592</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t="s">
        <v>3932</v>
      </c>
      <c r="D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87" t="s">
        <v>1248</v>
      </c>
      <c r="C18" s="97" t="s">
        <v>1385</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1</v>
      </c>
      <c r="C19" s="101">
        <v>11520</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v>2</v>
      </c>
      <c r="C20" s="101">
        <v>13540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v>3</v>
      </c>
      <c r="C21" s="101">
        <v>13280</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v>4</v>
      </c>
      <c r="C22" s="101">
        <v>14340</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99">
        <v>5</v>
      </c>
      <c r="C23" s="101">
        <v>15180</v>
      </c>
      <c r="D23" s="104" t="s">
        <v>1238</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05">
        <v>6</v>
      </c>
      <c r="C24" s="107">
        <f>FORECAST(B24,C19:C23,B19:B23)</f>
        <v>16008</v>
      </c>
      <c r="D24" s="108" t="s">
        <v>3933</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C25" s="116" t="s">
        <v>3934</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469</v>
      </c>
      <c r="B100" s="498"/>
      <c r="C100" s="499"/>
      <c r="D100" s="87"/>
      <c r="E100" s="500" t="str">
        <f>HYPERLINK("#目录!A277","跳转回到目录页")</f>
        <v>跳转回到目录页</v>
      </c>
      <c r="F100" s="501"/>
    </row>
    <row r="101" spans="1:13" s="88" customFormat="1" ht="26.25" customHeight="1">
      <c r="A101" s="502" t="s">
        <v>1216</v>
      </c>
      <c r="B101" s="502"/>
      <c r="C101" s="503" t="s">
        <v>470</v>
      </c>
      <c r="D101" s="503"/>
      <c r="E101" s="503"/>
      <c r="F101" s="503"/>
      <c r="G101" s="503"/>
      <c r="H101" s="503"/>
      <c r="I101" s="503"/>
      <c r="J101" s="503"/>
      <c r="K101" s="503"/>
      <c r="L101" s="503"/>
      <c r="M101" s="503"/>
    </row>
    <row r="102" spans="1:13" s="88" customFormat="1" ht="24.75" customHeight="1">
      <c r="A102" s="496" t="s">
        <v>1217</v>
      </c>
      <c r="B102" s="496"/>
      <c r="C102" s="493" t="s">
        <v>3935</v>
      </c>
      <c r="D102" s="493"/>
      <c r="E102" s="493"/>
      <c r="F102" s="493"/>
      <c r="G102" s="493"/>
      <c r="H102" s="493"/>
      <c r="I102" s="493"/>
      <c r="J102" s="493"/>
      <c r="K102" s="493"/>
      <c r="L102" s="493"/>
      <c r="M102" s="493"/>
    </row>
    <row r="103" spans="1:13" s="88" customFormat="1" ht="16.5" customHeight="1">
      <c r="A103" s="496" t="s">
        <v>5786</v>
      </c>
      <c r="B103" s="496"/>
      <c r="C103" s="497" t="s">
        <v>470</v>
      </c>
      <c r="D103" s="497"/>
      <c r="E103" s="497"/>
      <c r="F103" s="497"/>
      <c r="G103" s="497"/>
      <c r="H103" s="497"/>
      <c r="I103" s="497"/>
      <c r="J103" s="497"/>
      <c r="K103" s="497"/>
      <c r="L103" s="497"/>
      <c r="M103" s="497"/>
    </row>
    <row r="104" spans="1:13" s="88" customFormat="1" ht="16.5" customHeight="1">
      <c r="A104" s="496" t="s">
        <v>1220</v>
      </c>
      <c r="B104" s="496"/>
      <c r="C104" s="493" t="s">
        <v>3936</v>
      </c>
      <c r="D104" s="493"/>
      <c r="E104" s="493"/>
      <c r="F104" s="493"/>
      <c r="G104" s="493"/>
      <c r="H104" s="493"/>
      <c r="I104" s="493"/>
      <c r="J104" s="493"/>
      <c r="K104" s="493"/>
      <c r="L104" s="493"/>
      <c r="M104" s="493"/>
    </row>
    <row r="105" spans="1:13" s="88" customFormat="1" ht="16.5" customHeight="1">
      <c r="A105" s="496" t="s">
        <v>5785</v>
      </c>
      <c r="B105" s="496"/>
      <c r="C105" s="493" t="s">
        <v>3937</v>
      </c>
      <c r="D105" s="493"/>
      <c r="E105" s="493"/>
      <c r="F105" s="493"/>
      <c r="G105" s="493"/>
      <c r="H105" s="493"/>
      <c r="I105" s="493"/>
      <c r="J105" s="493"/>
      <c r="K105" s="493"/>
      <c r="L105" s="493"/>
      <c r="M105" s="493"/>
    </row>
    <row r="106" spans="1:13" s="88" customFormat="1" ht="24.75" customHeight="1">
      <c r="A106" s="89" t="s">
        <v>1223</v>
      </c>
      <c r="B106" s="92" t="s">
        <v>3927</v>
      </c>
      <c r="C106" s="493" t="s">
        <v>3938</v>
      </c>
      <c r="D106" s="493"/>
      <c r="E106" s="493"/>
      <c r="F106" s="493"/>
      <c r="G106" s="493"/>
      <c r="H106" s="493"/>
      <c r="I106" s="493"/>
      <c r="J106" s="493"/>
      <c r="K106" s="493"/>
      <c r="L106" s="493"/>
      <c r="M106" s="493"/>
    </row>
    <row r="107" spans="1:13" s="88" customFormat="1" ht="38.25" customHeight="1">
      <c r="A107" s="89"/>
      <c r="B107" s="92" t="s">
        <v>3929</v>
      </c>
      <c r="C107" s="493" t="s">
        <v>3939</v>
      </c>
      <c r="D107" s="493"/>
      <c r="E107" s="493"/>
      <c r="F107" s="493"/>
      <c r="G107" s="493"/>
      <c r="H107" s="493"/>
      <c r="I107" s="493"/>
      <c r="J107" s="493"/>
      <c r="K107" s="493"/>
      <c r="L107" s="493"/>
      <c r="M107" s="493"/>
    </row>
    <row r="108" spans="1:13" s="88" customFormat="1" ht="38.25" customHeight="1">
      <c r="A108" s="89"/>
      <c r="B108" s="92" t="s">
        <v>3940</v>
      </c>
      <c r="C108" s="509" t="s">
        <v>3941</v>
      </c>
      <c r="D108" s="509"/>
      <c r="E108" s="509"/>
      <c r="F108" s="509"/>
      <c r="G108" s="509"/>
      <c r="H108" s="509"/>
      <c r="I108" s="509"/>
      <c r="J108" s="509"/>
      <c r="K108" s="509"/>
      <c r="L108" s="509"/>
      <c r="M108" s="509"/>
    </row>
    <row r="109" spans="1:13" s="88" customFormat="1" ht="24.75" customHeight="1">
      <c r="A109" s="89"/>
      <c r="B109" s="90" t="s">
        <v>3942</v>
      </c>
      <c r="C109" s="493" t="s">
        <v>3943</v>
      </c>
      <c r="D109" s="493"/>
      <c r="E109" s="493"/>
      <c r="F109" s="493"/>
      <c r="G109" s="493"/>
      <c r="H109" s="493"/>
      <c r="I109" s="493"/>
      <c r="J109" s="493"/>
      <c r="K109" s="493"/>
      <c r="L109" s="493"/>
      <c r="M109" s="493"/>
    </row>
    <row r="110" spans="1:13" s="88" customFormat="1" ht="16.5" customHeight="1">
      <c r="A110" s="89" t="s">
        <v>1228</v>
      </c>
      <c r="B110" s="493"/>
      <c r="C110" s="493"/>
      <c r="D110" s="493"/>
      <c r="E110" s="493"/>
      <c r="F110" s="493"/>
      <c r="G110" s="493"/>
      <c r="H110" s="493"/>
      <c r="I110" s="493"/>
      <c r="J110" s="493"/>
      <c r="K110" s="493"/>
      <c r="L110" s="493"/>
      <c r="M110" s="493"/>
    </row>
    <row r="111" spans="1:13" ht="66" customHeight="1">
      <c r="A111" s="89" t="s">
        <v>1229</v>
      </c>
      <c r="B111" s="493" t="s">
        <v>3944</v>
      </c>
      <c r="C111" s="493"/>
      <c r="D111" s="493"/>
      <c r="E111" s="493"/>
      <c r="F111" s="493"/>
      <c r="G111" s="493"/>
      <c r="H111" s="493"/>
      <c r="I111" s="493"/>
      <c r="J111" s="493"/>
      <c r="K111" s="493"/>
      <c r="L111" s="493"/>
      <c r="M111" s="493"/>
    </row>
    <row r="112" spans="1:13" ht="21" customHeight="1">
      <c r="B112" s="494" t="s">
        <v>2863</v>
      </c>
      <c r="C112" s="494"/>
      <c r="D112" s="494"/>
      <c r="E112" s="494"/>
      <c r="F112" s="494"/>
      <c r="G112" s="494"/>
      <c r="H112" s="494"/>
      <c r="I112" s="494"/>
      <c r="J112" s="494"/>
      <c r="K112" s="494"/>
      <c r="L112" s="495"/>
    </row>
    <row r="113" spans="1:9" s="93" customFormat="1" ht="16.5" customHeight="1"/>
    <row r="114" spans="1:9" s="93" customFormat="1" ht="16.5" customHeight="1">
      <c r="A114" s="94" t="s">
        <v>1232</v>
      </c>
      <c r="B114" s="93" t="s">
        <v>1773</v>
      </c>
      <c r="F114" s="189"/>
    </row>
    <row r="115" spans="1:9" ht="16.5" customHeight="1">
      <c r="F115" s="189"/>
    </row>
    <row r="116" spans="1:9" ht="16.5" customHeight="1">
      <c r="F116" s="189"/>
    </row>
    <row r="117" spans="1:9" ht="16.5" customHeight="1">
      <c r="B117" s="93" t="s">
        <v>3932</v>
      </c>
      <c r="C117" s="93"/>
      <c r="D117" s="93"/>
      <c r="E117" s="93"/>
      <c r="F117" s="93"/>
      <c r="G117" s="93"/>
      <c r="H117" s="93"/>
      <c r="I117" s="93"/>
    </row>
    <row r="118" spans="1:9" ht="16.5" customHeight="1">
      <c r="B118" s="187" t="s">
        <v>1248</v>
      </c>
      <c r="C118" s="97" t="s">
        <v>1385</v>
      </c>
      <c r="D118" s="93"/>
      <c r="E118" s="93"/>
      <c r="F118" s="93"/>
      <c r="G118" s="93"/>
      <c r="H118" s="93"/>
      <c r="I118" s="93"/>
    </row>
    <row r="119" spans="1:9" ht="16.5" customHeight="1">
      <c r="B119" s="99">
        <v>1</v>
      </c>
      <c r="C119" s="101">
        <v>11520</v>
      </c>
      <c r="D119" s="93"/>
      <c r="E119" s="93"/>
      <c r="F119" s="161"/>
      <c r="G119" s="93"/>
      <c r="H119" s="93"/>
      <c r="I119" s="93"/>
    </row>
    <row r="120" spans="1:9" ht="16.5" customHeight="1">
      <c r="B120" s="99">
        <v>2</v>
      </c>
      <c r="C120" s="101">
        <v>13540</v>
      </c>
      <c r="D120" s="93"/>
      <c r="E120" s="93"/>
      <c r="F120" s="161"/>
      <c r="G120" s="93"/>
      <c r="H120" s="93"/>
      <c r="I120" s="93"/>
    </row>
    <row r="121" spans="1:9" ht="16.5" customHeight="1">
      <c r="B121" s="99">
        <v>3</v>
      </c>
      <c r="C121" s="101">
        <v>13280</v>
      </c>
      <c r="D121" s="93"/>
      <c r="E121" s="93"/>
      <c r="F121" s="161"/>
      <c r="G121" s="93"/>
      <c r="H121" s="93"/>
      <c r="I121" s="93"/>
    </row>
    <row r="122" spans="1:9" ht="16.5" customHeight="1">
      <c r="B122" s="99">
        <v>4</v>
      </c>
      <c r="C122" s="101">
        <v>14340</v>
      </c>
      <c r="D122" s="93"/>
      <c r="E122" s="93"/>
      <c r="F122" s="161"/>
      <c r="G122" s="93"/>
      <c r="H122" s="93"/>
      <c r="I122" s="93"/>
    </row>
    <row r="123" spans="1:9" ht="16.5" customHeight="1">
      <c r="B123" s="99">
        <v>5</v>
      </c>
      <c r="C123" s="101">
        <v>15180</v>
      </c>
      <c r="D123" s="104" t="s">
        <v>1238</v>
      </c>
      <c r="E123" s="93"/>
      <c r="F123" s="161"/>
      <c r="G123" s="93"/>
      <c r="H123" s="93"/>
      <c r="I123" s="93"/>
    </row>
    <row r="124" spans="1:9" ht="16.5" customHeight="1">
      <c r="B124" s="99">
        <v>6</v>
      </c>
      <c r="C124" s="179">
        <f t="array" ref="C124:C126">TREND(C119:C123,B119:B123,B124:B126)</f>
        <v>16008</v>
      </c>
      <c r="D124" s="108" t="s">
        <v>3945</v>
      </c>
      <c r="E124" s="93"/>
      <c r="F124" s="93"/>
      <c r="G124" s="93"/>
      <c r="H124" s="93"/>
      <c r="I124" s="93"/>
    </row>
    <row r="125" spans="1:9" ht="16.5" customHeight="1">
      <c r="B125" s="99">
        <v>7</v>
      </c>
      <c r="C125" s="179">
        <v>16820</v>
      </c>
      <c r="D125" s="93"/>
      <c r="E125" s="93"/>
      <c r="F125" s="93"/>
      <c r="G125" s="93"/>
      <c r="H125" s="93"/>
      <c r="I125" s="93"/>
    </row>
    <row r="126" spans="1:9">
      <c r="B126" s="105">
        <v>8</v>
      </c>
      <c r="C126" s="190">
        <v>17632</v>
      </c>
      <c r="D126" s="93"/>
      <c r="E126" s="93"/>
      <c r="F126" s="93"/>
      <c r="G126" s="93"/>
      <c r="H126" s="93"/>
      <c r="I126" s="93"/>
    </row>
    <row r="127" spans="1:9">
      <c r="B127" s="93"/>
      <c r="C127" s="116" t="s">
        <v>3946</v>
      </c>
      <c r="D127" s="93"/>
      <c r="E127" s="93"/>
      <c r="F127" s="93"/>
      <c r="G127" s="93"/>
      <c r="H127" s="93"/>
      <c r="I127" s="93"/>
    </row>
    <row r="128" spans="1:9">
      <c r="B128" s="93"/>
      <c r="C128" s="93"/>
      <c r="D128" s="93"/>
      <c r="E128" s="93"/>
      <c r="F128" s="93"/>
      <c r="G128" s="93"/>
      <c r="H128" s="93"/>
      <c r="I128" s="93"/>
    </row>
    <row r="129" spans="2:9">
      <c r="B129" s="93"/>
      <c r="C129" s="93"/>
      <c r="D129" s="93"/>
      <c r="E129" s="93"/>
      <c r="F129" s="93"/>
      <c r="G129" s="93"/>
      <c r="H129" s="93"/>
      <c r="I129" s="93"/>
    </row>
    <row r="200" spans="1:13" s="88" customFormat="1" ht="26.25" customHeight="1">
      <c r="A200" s="498" t="s">
        <v>471</v>
      </c>
      <c r="B200" s="498"/>
      <c r="C200" s="499"/>
      <c r="D200" s="87"/>
      <c r="E200" s="500" t="str">
        <f>HYPERLINK("#目录!A278","跳转回到目录页")</f>
        <v>跳转回到目录页</v>
      </c>
      <c r="F200" s="500"/>
    </row>
    <row r="201" spans="1:13" s="88" customFormat="1" ht="26.25" customHeight="1">
      <c r="A201" s="675" t="s">
        <v>1216</v>
      </c>
      <c r="B201" s="675"/>
      <c r="C201" s="503" t="s">
        <v>472</v>
      </c>
      <c r="D201" s="503"/>
      <c r="E201" s="503"/>
      <c r="F201" s="503"/>
      <c r="G201" s="503"/>
      <c r="H201" s="503"/>
      <c r="I201" s="503"/>
      <c r="J201" s="503"/>
      <c r="K201" s="503"/>
      <c r="L201" s="503"/>
      <c r="M201" s="503"/>
    </row>
    <row r="202" spans="1:13" s="88" customFormat="1" ht="24.75" customHeight="1">
      <c r="A202" s="496" t="s">
        <v>1217</v>
      </c>
      <c r="B202" s="496"/>
      <c r="C202" s="493" t="s">
        <v>3947</v>
      </c>
      <c r="D202" s="493"/>
      <c r="E202" s="493"/>
      <c r="F202" s="493"/>
      <c r="G202" s="493"/>
      <c r="H202" s="493"/>
      <c r="I202" s="493"/>
      <c r="J202" s="493"/>
      <c r="K202" s="493"/>
      <c r="L202" s="493"/>
      <c r="M202" s="493"/>
    </row>
    <row r="203" spans="1:13" s="88" customFormat="1" ht="16.5" customHeight="1">
      <c r="A203" s="496" t="s">
        <v>5786</v>
      </c>
      <c r="B203" s="496"/>
      <c r="C203" s="497" t="s">
        <v>472</v>
      </c>
      <c r="D203" s="497"/>
      <c r="E203" s="497"/>
      <c r="F203" s="497"/>
      <c r="G203" s="497"/>
      <c r="H203" s="497"/>
      <c r="I203" s="497"/>
      <c r="J203" s="497"/>
      <c r="K203" s="497"/>
      <c r="L203" s="497"/>
      <c r="M203" s="497"/>
    </row>
    <row r="204" spans="1:13" s="88" customFormat="1" ht="16.5" customHeight="1">
      <c r="A204" s="496" t="s">
        <v>1220</v>
      </c>
      <c r="B204" s="496"/>
      <c r="C204" s="493" t="s">
        <v>3948</v>
      </c>
      <c r="D204" s="493"/>
      <c r="E204" s="493"/>
      <c r="F204" s="493"/>
      <c r="G204" s="493"/>
      <c r="H204" s="493"/>
      <c r="I204" s="493"/>
      <c r="J204" s="493"/>
      <c r="K204" s="493"/>
      <c r="L204" s="493"/>
      <c r="M204" s="493"/>
    </row>
    <row r="205" spans="1:13" s="88" customFormat="1" ht="16.5" customHeight="1">
      <c r="A205" s="496" t="s">
        <v>5785</v>
      </c>
      <c r="B205" s="496"/>
      <c r="C205" s="493" t="s">
        <v>3949</v>
      </c>
      <c r="D205" s="493"/>
      <c r="E205" s="493"/>
      <c r="F205" s="493"/>
      <c r="G205" s="493"/>
      <c r="H205" s="493"/>
      <c r="I205" s="493"/>
      <c r="J205" s="493"/>
      <c r="K205" s="493"/>
      <c r="L205" s="493"/>
      <c r="M205" s="493"/>
    </row>
    <row r="206" spans="1:13" s="88" customFormat="1" ht="16.5" customHeight="1">
      <c r="A206" s="89" t="s">
        <v>1223</v>
      </c>
      <c r="B206" s="92" t="s">
        <v>3927</v>
      </c>
      <c r="C206" s="493" t="s">
        <v>3950</v>
      </c>
      <c r="D206" s="493"/>
      <c r="E206" s="493"/>
      <c r="F206" s="493"/>
      <c r="G206" s="493"/>
      <c r="H206" s="493"/>
      <c r="I206" s="493"/>
      <c r="J206" s="493"/>
      <c r="K206" s="493"/>
      <c r="L206" s="493"/>
      <c r="M206" s="493"/>
    </row>
    <row r="207" spans="1:13" s="88" customFormat="1" ht="16.5" customHeight="1">
      <c r="A207" s="89"/>
      <c r="B207" s="92" t="s">
        <v>3929</v>
      </c>
      <c r="C207" s="493" t="s">
        <v>3951</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85.5" customHeight="1">
      <c r="A210" s="89" t="s">
        <v>1229</v>
      </c>
      <c r="B210" s="673" t="s">
        <v>3952</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c r="B215" s="93"/>
      <c r="C215" s="161"/>
      <c r="D215" s="93"/>
      <c r="E215" s="93"/>
      <c r="F215" s="93"/>
      <c r="G215" s="93"/>
      <c r="H215" s="93"/>
      <c r="I215" s="93"/>
      <c r="J215" s="93"/>
    </row>
    <row r="216" spans="1:13" ht="16.5" customHeight="1">
      <c r="B216" s="93" t="s">
        <v>3953</v>
      </c>
      <c r="C216" s="93"/>
      <c r="D216" s="93"/>
      <c r="E216" s="93"/>
      <c r="F216" s="93"/>
      <c r="G216" s="93"/>
      <c r="H216" s="93"/>
      <c r="I216" s="93"/>
      <c r="J216" s="93"/>
    </row>
    <row r="217" spans="1:13" ht="16.5" customHeight="1">
      <c r="B217" s="95" t="s">
        <v>1248</v>
      </c>
      <c r="C217" s="97" t="s">
        <v>1385</v>
      </c>
      <c r="D217" s="94" t="s">
        <v>3920</v>
      </c>
      <c r="E217" s="104" t="s">
        <v>1238</v>
      </c>
      <c r="F217" s="93"/>
      <c r="G217" s="93"/>
      <c r="H217" s="93"/>
      <c r="I217" s="93"/>
      <c r="J217" s="93"/>
    </row>
    <row r="218" spans="1:13" ht="16.5" customHeight="1">
      <c r="B218" s="99">
        <v>1</v>
      </c>
      <c r="C218" s="101">
        <v>11520</v>
      </c>
      <c r="D218" s="93">
        <f>SLOPE(C218:C229,B218:B229)</f>
        <v>812</v>
      </c>
      <c r="E218" s="108" t="s">
        <v>3954</v>
      </c>
      <c r="F218" s="93"/>
      <c r="G218" s="93"/>
      <c r="H218" s="93"/>
      <c r="I218" s="93"/>
      <c r="J218" s="93"/>
    </row>
    <row r="219" spans="1:13" ht="16.5" customHeight="1">
      <c r="B219" s="99">
        <v>2</v>
      </c>
      <c r="C219" s="101">
        <v>13540</v>
      </c>
      <c r="D219" s="93"/>
      <c r="E219" s="93"/>
      <c r="F219" s="93"/>
      <c r="G219" s="93"/>
      <c r="H219" s="93"/>
      <c r="I219" s="93"/>
      <c r="J219" s="93"/>
    </row>
    <row r="220" spans="1:13" ht="16.5" customHeight="1">
      <c r="B220" s="99">
        <v>3</v>
      </c>
      <c r="C220" s="101">
        <v>13280</v>
      </c>
      <c r="D220" s="93"/>
      <c r="E220" s="93"/>
      <c r="F220" s="93"/>
      <c r="G220" s="93"/>
      <c r="H220" s="93"/>
      <c r="I220" s="93"/>
      <c r="J220" s="93"/>
    </row>
    <row r="221" spans="1:13" ht="16.5" customHeight="1">
      <c r="B221" s="99">
        <v>4</v>
      </c>
      <c r="C221" s="101">
        <v>14340</v>
      </c>
      <c r="D221" s="93"/>
      <c r="E221" s="93"/>
      <c r="F221" s="93" t="s">
        <v>3592</v>
      </c>
      <c r="G221" s="93"/>
      <c r="H221" s="93"/>
      <c r="I221" s="93"/>
      <c r="J221" s="93"/>
    </row>
    <row r="222" spans="1:13" ht="16.5" customHeight="1">
      <c r="B222" s="105">
        <v>5</v>
      </c>
      <c r="C222" s="107">
        <v>15180</v>
      </c>
      <c r="D222" s="93"/>
      <c r="E222" s="93"/>
      <c r="F222" s="93"/>
      <c r="G222" s="93"/>
      <c r="H222" s="93"/>
      <c r="I222" s="93"/>
      <c r="J222" s="93"/>
    </row>
    <row r="223" spans="1:13" ht="16.5" customHeight="1">
      <c r="D223" s="93"/>
      <c r="E223" s="93"/>
      <c r="F223" s="93" t="s">
        <v>3592</v>
      </c>
      <c r="G223" s="93"/>
      <c r="H223" s="93"/>
      <c r="I223" s="93"/>
      <c r="J223" s="93"/>
    </row>
    <row r="224" spans="1:13" ht="16.5" customHeight="1">
      <c r="D224" s="93"/>
      <c r="E224" s="93"/>
      <c r="F224" s="93"/>
      <c r="G224" s="93"/>
      <c r="H224" s="93"/>
      <c r="I224" s="93"/>
      <c r="J224" s="93"/>
    </row>
    <row r="225" spans="4:10" ht="16.5" customHeight="1">
      <c r="D225" s="93"/>
      <c r="E225" s="93"/>
      <c r="F225" s="93"/>
      <c r="G225" s="93"/>
      <c r="H225" s="93"/>
      <c r="I225" s="93"/>
      <c r="J225" s="93"/>
    </row>
    <row r="226" spans="4:10" ht="16.5" customHeight="1">
      <c r="D226" s="93"/>
      <c r="E226" s="93"/>
      <c r="F226" s="93"/>
      <c r="G226" s="93"/>
      <c r="H226" s="93"/>
      <c r="I226" s="93"/>
      <c r="J226" s="93"/>
    </row>
    <row r="227" spans="4:10" ht="16.5" customHeight="1">
      <c r="D227" s="93"/>
      <c r="E227" s="93"/>
      <c r="F227" s="93"/>
      <c r="G227" s="93"/>
      <c r="H227" s="93"/>
      <c r="I227" s="93"/>
      <c r="J227" s="93"/>
    </row>
    <row r="228" spans="4:10" ht="16.5" customHeight="1">
      <c r="D228" s="93"/>
      <c r="E228" s="93"/>
    </row>
    <row r="229" spans="4:10" ht="16.5" customHeight="1">
      <c r="D229" s="93"/>
      <c r="E229" s="93"/>
    </row>
    <row r="300" spans="1:13" s="88" customFormat="1" ht="26.25" customHeight="1">
      <c r="A300" s="498" t="s">
        <v>473</v>
      </c>
      <c r="B300" s="498"/>
      <c r="C300" s="499"/>
      <c r="D300" s="87"/>
      <c r="E300" s="500" t="str">
        <f>HYPERLINK("#目录!A279","跳转回到目录页")</f>
        <v>跳转回到目录页</v>
      </c>
      <c r="F300" s="501"/>
    </row>
    <row r="301" spans="1:13" s="88" customFormat="1" ht="26.25" customHeight="1">
      <c r="A301" s="502" t="s">
        <v>1216</v>
      </c>
      <c r="B301" s="502"/>
      <c r="C301" s="503" t="s">
        <v>474</v>
      </c>
      <c r="D301" s="503"/>
      <c r="E301" s="503"/>
      <c r="F301" s="503"/>
      <c r="G301" s="503"/>
      <c r="H301" s="503"/>
      <c r="I301" s="503"/>
      <c r="J301" s="503"/>
      <c r="K301" s="503"/>
      <c r="L301" s="503"/>
      <c r="M301" s="503"/>
    </row>
    <row r="302" spans="1:13" s="88" customFormat="1" ht="24.75" customHeight="1">
      <c r="A302" s="496" t="s">
        <v>1217</v>
      </c>
      <c r="B302" s="496"/>
      <c r="C302" s="493" t="s">
        <v>3955</v>
      </c>
      <c r="D302" s="493"/>
      <c r="E302" s="493"/>
      <c r="F302" s="493"/>
      <c r="G302" s="493"/>
      <c r="H302" s="493"/>
      <c r="I302" s="493"/>
      <c r="J302" s="493"/>
      <c r="K302" s="493"/>
      <c r="L302" s="493"/>
      <c r="M302" s="493"/>
    </row>
    <row r="303" spans="1:13" s="88" customFormat="1" ht="16.5" customHeight="1">
      <c r="A303" s="496" t="s">
        <v>5786</v>
      </c>
      <c r="B303" s="496"/>
      <c r="C303" s="497" t="s">
        <v>474</v>
      </c>
      <c r="D303" s="497"/>
      <c r="E303" s="497"/>
      <c r="F303" s="497"/>
      <c r="G303" s="497"/>
      <c r="H303" s="497"/>
      <c r="I303" s="497"/>
      <c r="J303" s="497"/>
      <c r="K303" s="497"/>
      <c r="L303" s="497"/>
      <c r="M303" s="497"/>
    </row>
    <row r="304" spans="1:13" s="88" customFormat="1" ht="16.5" customHeight="1">
      <c r="A304" s="496" t="s">
        <v>1220</v>
      </c>
      <c r="B304" s="496"/>
      <c r="C304" s="493" t="s">
        <v>3956</v>
      </c>
      <c r="D304" s="493"/>
      <c r="E304" s="493"/>
      <c r="F304" s="493"/>
      <c r="G304" s="493"/>
      <c r="H304" s="493"/>
      <c r="I304" s="493"/>
      <c r="J304" s="493"/>
      <c r="K304" s="493"/>
      <c r="L304" s="493"/>
      <c r="M304" s="493"/>
    </row>
    <row r="305" spans="1:13" s="88" customFormat="1" ht="16.5" customHeight="1">
      <c r="A305" s="496" t="s">
        <v>5785</v>
      </c>
      <c r="B305" s="496"/>
      <c r="C305" s="493" t="s">
        <v>3957</v>
      </c>
      <c r="D305" s="493"/>
      <c r="E305" s="493"/>
      <c r="F305" s="493"/>
      <c r="G305" s="493"/>
      <c r="H305" s="493"/>
      <c r="I305" s="493"/>
      <c r="J305" s="493"/>
      <c r="K305" s="493"/>
      <c r="L305" s="493"/>
      <c r="M305" s="493"/>
    </row>
    <row r="306" spans="1:13" s="88" customFormat="1" ht="16.5" customHeight="1">
      <c r="A306" s="89" t="s">
        <v>1223</v>
      </c>
      <c r="B306" s="92" t="s">
        <v>3927</v>
      </c>
      <c r="C306" s="493" t="s">
        <v>3958</v>
      </c>
      <c r="D306" s="493"/>
      <c r="E306" s="493"/>
      <c r="F306" s="493"/>
      <c r="G306" s="493"/>
      <c r="H306" s="493"/>
      <c r="I306" s="493"/>
      <c r="J306" s="493"/>
      <c r="K306" s="493"/>
      <c r="L306" s="493"/>
      <c r="M306" s="493"/>
    </row>
    <row r="307" spans="1:13" s="88" customFormat="1" ht="16.5" customHeight="1">
      <c r="A307" s="89"/>
      <c r="B307" s="92" t="s">
        <v>3929</v>
      </c>
      <c r="C307" s="493" t="s">
        <v>3959</v>
      </c>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73.5" customHeight="1">
      <c r="A310" s="89" t="s">
        <v>1229</v>
      </c>
      <c r="B310" s="673" t="s">
        <v>3960</v>
      </c>
      <c r="C310" s="673"/>
      <c r="D310" s="673"/>
      <c r="E310" s="673"/>
      <c r="F310" s="673"/>
      <c r="G310" s="673"/>
      <c r="H310" s="673"/>
      <c r="I310" s="673"/>
      <c r="J310" s="673"/>
      <c r="K310" s="673"/>
      <c r="L310" s="673"/>
      <c r="M310" s="67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c r="A314" s="93"/>
      <c r="B314" s="93"/>
      <c r="C314" s="93"/>
      <c r="D314" s="93"/>
      <c r="E314" s="93"/>
      <c r="F314" s="93" t="s">
        <v>3592</v>
      </c>
      <c r="G314" s="93"/>
      <c r="H314" s="93"/>
      <c r="I314" s="93"/>
      <c r="J314" s="93"/>
      <c r="K314" s="93"/>
    </row>
    <row r="315" spans="1:13" ht="16.5" customHeight="1">
      <c r="A315" s="93"/>
      <c r="B315" s="93"/>
      <c r="C315" s="93"/>
      <c r="D315" s="93"/>
      <c r="E315" s="93"/>
      <c r="F315" s="93"/>
      <c r="G315" s="93"/>
      <c r="H315" s="93"/>
      <c r="I315" s="93"/>
      <c r="J315" s="93"/>
      <c r="K315" s="93"/>
    </row>
    <row r="316" spans="1:13" ht="16.5" customHeight="1">
      <c r="A316" s="93"/>
      <c r="B316" s="95" t="s">
        <v>3961</v>
      </c>
      <c r="C316" s="96" t="s">
        <v>3962</v>
      </c>
      <c r="D316" s="97" t="s">
        <v>3963</v>
      </c>
      <c r="E316" s="94"/>
      <c r="F316" s="94" t="s">
        <v>3964</v>
      </c>
      <c r="G316" s="94" t="s">
        <v>3965</v>
      </c>
      <c r="H316" s="104" t="s">
        <v>1238</v>
      </c>
      <c r="I316" s="93"/>
      <c r="J316" s="93"/>
      <c r="K316" s="93"/>
    </row>
    <row r="317" spans="1:13" ht="16.5" customHeight="1">
      <c r="A317" s="93"/>
      <c r="B317" s="99">
        <v>1050</v>
      </c>
      <c r="C317" s="110" t="e">
        <f>#N/A</f>
        <v>#N/A</v>
      </c>
      <c r="D317" s="101">
        <v>13</v>
      </c>
      <c r="E317" s="93"/>
      <c r="F317" s="93">
        <v>3000</v>
      </c>
      <c r="G317" s="93" t="e">
        <f>INTERCEPT(D317:D321,C317:C321)</f>
        <v>#N/A</v>
      </c>
      <c r="H317" s="108" t="s">
        <v>3966</v>
      </c>
      <c r="I317" s="93"/>
      <c r="J317" s="93"/>
      <c r="K317" s="93"/>
    </row>
    <row r="318" spans="1:13" ht="16.5" customHeight="1">
      <c r="A318" s="93"/>
      <c r="B318" s="99">
        <v>850</v>
      </c>
      <c r="C318" s="110" t="e">
        <f>#N/A</f>
        <v>#N/A</v>
      </c>
      <c r="D318" s="101">
        <v>15</v>
      </c>
      <c r="E318" s="93"/>
      <c r="F318" s="93"/>
      <c r="G318" s="93"/>
      <c r="H318" s="93"/>
      <c r="I318" s="93"/>
      <c r="J318" s="93"/>
      <c r="K318" s="93"/>
    </row>
    <row r="319" spans="1:13" ht="16.5" customHeight="1">
      <c r="A319" s="93"/>
      <c r="B319" s="99">
        <v>550</v>
      </c>
      <c r="C319" s="110" t="e">
        <f>#N/A</f>
        <v>#N/A</v>
      </c>
      <c r="D319" s="101">
        <v>17</v>
      </c>
      <c r="E319" s="93"/>
      <c r="F319" s="93"/>
      <c r="G319" s="93"/>
      <c r="H319" s="93"/>
      <c r="I319" s="93"/>
      <c r="J319" s="93"/>
      <c r="K319" s="93"/>
    </row>
    <row r="320" spans="1:13" ht="16.5" customHeight="1">
      <c r="A320" s="93"/>
      <c r="B320" s="99">
        <v>150</v>
      </c>
      <c r="C320" s="110" t="e">
        <f>#N/A</f>
        <v>#N/A</v>
      </c>
      <c r="D320" s="101">
        <v>20</v>
      </c>
      <c r="E320" s="93"/>
      <c r="F320" s="93"/>
      <c r="G320" s="93"/>
      <c r="H320" s="93"/>
      <c r="I320" s="93"/>
      <c r="J320" s="93"/>
      <c r="K320" s="93"/>
    </row>
    <row r="321" spans="1:11" ht="16.5" customHeight="1">
      <c r="A321" s="93"/>
      <c r="B321" s="105">
        <v>0</v>
      </c>
      <c r="C321" s="113" t="e">
        <f>#N/A</f>
        <v>#N/A</v>
      </c>
      <c r="D321" s="107">
        <v>21</v>
      </c>
      <c r="E321" s="93"/>
      <c r="F321" s="93"/>
      <c r="G321" s="93"/>
      <c r="H321" s="93"/>
      <c r="I321" s="93"/>
      <c r="J321" s="93"/>
      <c r="K321" s="93"/>
    </row>
    <row r="322" spans="1:11" ht="16.5" customHeight="1">
      <c r="A322" s="93"/>
      <c r="B322" s="93"/>
      <c r="C322" s="93"/>
      <c r="D322" s="93"/>
      <c r="E322" s="93"/>
      <c r="F322" s="93"/>
      <c r="G322" s="93"/>
      <c r="H322" s="93"/>
      <c r="I322" s="93"/>
      <c r="J322" s="93"/>
      <c r="K322" s="93"/>
    </row>
    <row r="323" spans="1:11" ht="16.5" customHeight="1">
      <c r="A323" s="93"/>
      <c r="B323" s="93"/>
      <c r="C323" s="93"/>
      <c r="D323" s="93"/>
      <c r="E323" s="93"/>
      <c r="F323" s="93"/>
      <c r="G323" s="93"/>
      <c r="H323" s="93"/>
      <c r="I323" s="93"/>
      <c r="J323" s="93"/>
      <c r="K323" s="93"/>
    </row>
    <row r="400" spans="1:6" s="88" customFormat="1" ht="26.25" customHeight="1">
      <c r="A400" s="498" t="s">
        <v>475</v>
      </c>
      <c r="B400" s="498"/>
      <c r="C400" s="499"/>
      <c r="D400" s="87"/>
      <c r="E400" s="500" t="str">
        <f>HYPERLINK("#目录!A280","跳转回到目录页")</f>
        <v>跳转回到目录页</v>
      </c>
      <c r="F400" s="501"/>
    </row>
    <row r="401" spans="1:13" s="88" customFormat="1" ht="26.25" customHeight="1">
      <c r="A401" s="502" t="s">
        <v>1216</v>
      </c>
      <c r="B401" s="502"/>
      <c r="C401" s="503" t="s">
        <v>476</v>
      </c>
      <c r="D401" s="503"/>
      <c r="E401" s="503"/>
      <c r="F401" s="503"/>
      <c r="G401" s="503"/>
      <c r="H401" s="503"/>
      <c r="I401" s="503"/>
      <c r="J401" s="503"/>
      <c r="K401" s="503"/>
      <c r="L401" s="503"/>
      <c r="M401" s="503"/>
    </row>
    <row r="402" spans="1:13" s="88" customFormat="1" ht="16.5" customHeight="1">
      <c r="A402" s="496" t="s">
        <v>1217</v>
      </c>
      <c r="B402" s="496"/>
      <c r="C402" s="493" t="s">
        <v>3967</v>
      </c>
      <c r="D402" s="493"/>
      <c r="E402" s="493"/>
      <c r="F402" s="493"/>
      <c r="G402" s="493"/>
      <c r="H402" s="493"/>
      <c r="I402" s="493"/>
      <c r="J402" s="493"/>
      <c r="K402" s="493"/>
      <c r="L402" s="493"/>
      <c r="M402" s="493"/>
    </row>
    <row r="403" spans="1:13" s="88" customFormat="1" ht="16.5" customHeight="1">
      <c r="A403" s="496" t="s">
        <v>5786</v>
      </c>
      <c r="B403" s="496"/>
      <c r="C403" s="497" t="s">
        <v>476</v>
      </c>
      <c r="D403" s="497"/>
      <c r="E403" s="497"/>
      <c r="F403" s="497"/>
      <c r="G403" s="497"/>
      <c r="H403" s="497"/>
      <c r="I403" s="497"/>
      <c r="J403" s="497"/>
      <c r="K403" s="497"/>
      <c r="L403" s="497"/>
      <c r="M403" s="497"/>
    </row>
    <row r="404" spans="1:13" s="88" customFormat="1" ht="16.5" customHeight="1">
      <c r="A404" s="496" t="s">
        <v>1220</v>
      </c>
      <c r="B404" s="496"/>
      <c r="C404" s="493" t="s">
        <v>3968</v>
      </c>
      <c r="D404" s="493"/>
      <c r="E404" s="493"/>
      <c r="F404" s="493"/>
      <c r="G404" s="493"/>
      <c r="H404" s="493"/>
      <c r="I404" s="493"/>
      <c r="J404" s="493"/>
      <c r="K404" s="493"/>
      <c r="L404" s="493"/>
      <c r="M404" s="493"/>
    </row>
    <row r="405" spans="1:13" s="88" customFormat="1" ht="16.5" customHeight="1">
      <c r="A405" s="496" t="s">
        <v>5785</v>
      </c>
      <c r="B405" s="496"/>
      <c r="C405" s="493" t="s">
        <v>3969</v>
      </c>
      <c r="D405" s="493"/>
      <c r="E405" s="493"/>
      <c r="F405" s="493"/>
      <c r="G405" s="493"/>
      <c r="H405" s="493"/>
      <c r="I405" s="493"/>
      <c r="J405" s="493"/>
      <c r="K405" s="493"/>
      <c r="L405" s="493"/>
      <c r="M405" s="493"/>
    </row>
    <row r="406" spans="1:13" s="88" customFormat="1" ht="16.5" customHeight="1">
      <c r="A406" s="89" t="s">
        <v>1223</v>
      </c>
      <c r="B406" s="92" t="s">
        <v>3927</v>
      </c>
      <c r="C406" s="493" t="s">
        <v>3970</v>
      </c>
      <c r="D406" s="493"/>
      <c r="E406" s="493"/>
      <c r="F406" s="493"/>
      <c r="G406" s="493"/>
      <c r="H406" s="493"/>
      <c r="I406" s="493"/>
      <c r="J406" s="493"/>
      <c r="K406" s="493"/>
      <c r="L406" s="493"/>
      <c r="M406" s="493"/>
    </row>
    <row r="407" spans="1:13" s="88" customFormat="1" ht="16.5" customHeight="1">
      <c r="A407" s="89"/>
      <c r="B407" s="92" t="s">
        <v>3929</v>
      </c>
      <c r="C407" s="509" t="s">
        <v>3971</v>
      </c>
      <c r="D407" s="509"/>
      <c r="E407" s="509"/>
      <c r="F407" s="509"/>
      <c r="G407" s="509"/>
      <c r="H407" s="509"/>
      <c r="I407" s="509"/>
      <c r="J407" s="509"/>
      <c r="K407" s="509"/>
      <c r="L407" s="509"/>
      <c r="M407" s="509"/>
    </row>
    <row r="408" spans="1:13" s="88" customFormat="1" ht="16.5" customHeight="1">
      <c r="A408" s="89"/>
      <c r="B408" s="92" t="s">
        <v>3942</v>
      </c>
      <c r="C408" s="493" t="s">
        <v>3972</v>
      </c>
      <c r="D408" s="493"/>
      <c r="E408" s="493"/>
      <c r="F408" s="493"/>
      <c r="G408" s="493"/>
      <c r="H408" s="493"/>
      <c r="I408" s="493"/>
      <c r="J408" s="493"/>
      <c r="K408" s="493"/>
      <c r="L408" s="493"/>
      <c r="M408" s="493"/>
    </row>
    <row r="409" spans="1:13" s="88" customFormat="1" ht="16.5" customHeight="1">
      <c r="A409" s="89"/>
      <c r="B409" s="90" t="s">
        <v>3973</v>
      </c>
      <c r="C409" s="493" t="s">
        <v>3974</v>
      </c>
      <c r="D409" s="493"/>
      <c r="E409" s="493"/>
      <c r="F409" s="493"/>
      <c r="G409" s="493"/>
      <c r="H409" s="493"/>
      <c r="I409" s="493"/>
      <c r="J409" s="493"/>
      <c r="K409" s="493"/>
      <c r="L409" s="493"/>
      <c r="M409" s="493"/>
    </row>
    <row r="410" spans="1:13" s="88" customFormat="1" ht="16.5" customHeight="1">
      <c r="A410" s="89" t="s">
        <v>1228</v>
      </c>
      <c r="B410" s="493"/>
      <c r="C410" s="493"/>
      <c r="D410" s="493"/>
      <c r="E410" s="493"/>
      <c r="F410" s="493"/>
      <c r="G410" s="493"/>
      <c r="H410" s="493"/>
      <c r="I410" s="493"/>
      <c r="J410" s="493"/>
      <c r="K410" s="493"/>
      <c r="L410" s="493"/>
      <c r="M410" s="493"/>
    </row>
    <row r="411" spans="1:13" ht="38.25" customHeight="1">
      <c r="A411" s="89" t="s">
        <v>1229</v>
      </c>
      <c r="B411" s="493" t="s">
        <v>3975</v>
      </c>
      <c r="C411" s="493"/>
      <c r="D411" s="493"/>
      <c r="E411" s="493"/>
      <c r="F411" s="493"/>
      <c r="G411" s="493"/>
      <c r="H411" s="493"/>
      <c r="I411" s="493"/>
      <c r="J411" s="493"/>
      <c r="K411" s="493"/>
      <c r="L411" s="493"/>
      <c r="M411" s="493"/>
    </row>
    <row r="412" spans="1:13" ht="21" customHeight="1">
      <c r="B412" s="494" t="s">
        <v>2863</v>
      </c>
      <c r="C412" s="494"/>
      <c r="D412" s="494"/>
      <c r="E412" s="494"/>
      <c r="F412" s="494"/>
      <c r="G412" s="494"/>
      <c r="H412" s="494"/>
      <c r="I412" s="494"/>
      <c r="J412" s="494"/>
      <c r="K412" s="494"/>
      <c r="L412" s="495"/>
    </row>
    <row r="413" spans="1:13" s="93" customFormat="1" ht="16.5" customHeight="1"/>
    <row r="414" spans="1:13" s="93" customFormat="1" ht="16.5" customHeight="1">
      <c r="A414" s="94" t="s">
        <v>1232</v>
      </c>
      <c r="B414" s="93" t="s">
        <v>1773</v>
      </c>
    </row>
    <row r="415" spans="1:13" ht="16.5" customHeight="1">
      <c r="B415" s="93"/>
      <c r="C415" s="93"/>
      <c r="D415" s="93"/>
      <c r="E415" s="93"/>
      <c r="F415" s="93"/>
      <c r="G415" s="93"/>
      <c r="H415" s="93"/>
      <c r="I415" s="93"/>
      <c r="J415" s="93"/>
      <c r="K415" s="93"/>
      <c r="L415" s="93"/>
    </row>
    <row r="416" spans="1:13" ht="16.5" customHeight="1">
      <c r="B416" s="93"/>
      <c r="C416" s="93"/>
      <c r="D416" s="93"/>
      <c r="E416" s="93"/>
      <c r="F416" s="93"/>
      <c r="G416" s="93"/>
      <c r="H416" s="93"/>
      <c r="I416" s="93"/>
      <c r="J416" s="93"/>
      <c r="K416" s="93"/>
      <c r="L416" s="93"/>
    </row>
    <row r="417" spans="2:12" ht="16.5" customHeight="1">
      <c r="B417" s="95" t="s">
        <v>3961</v>
      </c>
      <c r="C417" s="96" t="s">
        <v>3962</v>
      </c>
      <c r="D417" s="97" t="s">
        <v>3963</v>
      </c>
      <c r="E417" s="94"/>
      <c r="F417" s="94" t="s">
        <v>3964</v>
      </c>
      <c r="G417" s="94" t="s">
        <v>3976</v>
      </c>
      <c r="H417" s="94" t="s">
        <v>3965</v>
      </c>
      <c r="I417" s="104" t="s">
        <v>1238</v>
      </c>
      <c r="J417" s="93"/>
      <c r="K417" s="93"/>
      <c r="L417" s="93"/>
    </row>
    <row r="418" spans="2:12" ht="16.5" customHeight="1">
      <c r="B418" s="99">
        <v>1050</v>
      </c>
      <c r="C418" s="110" t="e">
        <f>#N/A</f>
        <v>#N/A</v>
      </c>
      <c r="D418" s="101">
        <v>13</v>
      </c>
      <c r="E418" s="93"/>
      <c r="F418" s="93">
        <v>3000</v>
      </c>
      <c r="G418" s="93" t="e">
        <f t="array" ref="G418:H418">LINEST(D418:D422,C418:C422,TRUE,FALSE)</f>
        <v>#VALUE!</v>
      </c>
      <c r="H418" s="93" t="e">
        <v>#VALUE!</v>
      </c>
      <c r="I418" s="108" t="s">
        <v>3977</v>
      </c>
      <c r="J418" s="93"/>
      <c r="K418" s="93"/>
      <c r="L418" s="93"/>
    </row>
    <row r="419" spans="2:12" ht="16.5" customHeight="1">
      <c r="B419" s="99">
        <v>850</v>
      </c>
      <c r="C419" s="110" t="e">
        <f>#N/A</f>
        <v>#N/A</v>
      </c>
      <c r="D419" s="101">
        <v>15</v>
      </c>
      <c r="E419" s="93"/>
      <c r="F419" s="93"/>
      <c r="G419" s="93"/>
      <c r="H419" s="93"/>
      <c r="I419" s="93"/>
      <c r="J419" s="93"/>
      <c r="K419" s="93"/>
      <c r="L419" s="93"/>
    </row>
    <row r="420" spans="2:12" ht="16.5" customHeight="1">
      <c r="B420" s="99">
        <v>550</v>
      </c>
      <c r="C420" s="110" t="e">
        <f>#N/A</f>
        <v>#N/A</v>
      </c>
      <c r="D420" s="101">
        <v>17</v>
      </c>
      <c r="E420" s="93"/>
      <c r="F420" s="93"/>
      <c r="G420" s="93"/>
      <c r="H420" s="93"/>
      <c r="I420" s="93"/>
      <c r="J420" s="93"/>
      <c r="K420" s="93"/>
      <c r="L420" s="93"/>
    </row>
    <row r="421" spans="2:12" ht="16.5" customHeight="1">
      <c r="B421" s="99">
        <v>150</v>
      </c>
      <c r="C421" s="110" t="e">
        <f>#N/A</f>
        <v>#N/A</v>
      </c>
      <c r="D421" s="101">
        <v>20</v>
      </c>
      <c r="E421" s="93"/>
      <c r="F421" s="93"/>
      <c r="G421" s="93"/>
      <c r="H421" s="93"/>
      <c r="I421" s="93"/>
      <c r="J421" s="93"/>
      <c r="K421" s="93"/>
      <c r="L421" s="93"/>
    </row>
    <row r="422" spans="2:12" ht="16.5" customHeight="1">
      <c r="B422" s="105">
        <v>0</v>
      </c>
      <c r="C422" s="113" t="e">
        <f>#N/A</f>
        <v>#N/A</v>
      </c>
      <c r="D422" s="107">
        <v>21</v>
      </c>
      <c r="E422" s="93"/>
      <c r="F422" s="93"/>
      <c r="G422" s="93"/>
      <c r="H422" s="93"/>
      <c r="I422" s="93"/>
      <c r="J422" s="93"/>
      <c r="K422" s="93"/>
      <c r="L422" s="93"/>
    </row>
    <row r="423" spans="2:12" ht="16.5" customHeight="1">
      <c r="B423" s="93"/>
      <c r="C423" s="93"/>
      <c r="D423" s="93"/>
      <c r="E423" s="93"/>
      <c r="F423" s="93"/>
      <c r="G423" s="93"/>
      <c r="H423" s="93"/>
      <c r="I423" s="93"/>
      <c r="J423" s="93"/>
      <c r="K423" s="93"/>
      <c r="L423" s="93"/>
    </row>
    <row r="424" spans="2:12" ht="16.5" customHeight="1"/>
    <row r="425" spans="2:12" ht="16.5" customHeight="1"/>
    <row r="426" spans="2:12" ht="16.5" customHeight="1">
      <c r="G426" s="18"/>
    </row>
    <row r="427" spans="2:12" ht="16.5" customHeight="1"/>
    <row r="428" spans="2:12">
      <c r="G428" s="18"/>
    </row>
    <row r="500" spans="1:13" s="88" customFormat="1" ht="26.25" customHeight="1">
      <c r="A500" s="498" t="s">
        <v>477</v>
      </c>
      <c r="B500" s="498"/>
      <c r="C500" s="499"/>
      <c r="D500" s="87"/>
      <c r="E500" s="500" t="str">
        <f>HYPERLINK("#目录!A281","跳转回到目录页")</f>
        <v>跳转回到目录页</v>
      </c>
      <c r="F500" s="501"/>
    </row>
    <row r="501" spans="1:13" s="88" customFormat="1" ht="26.25" customHeight="1">
      <c r="A501" s="502" t="s">
        <v>1216</v>
      </c>
      <c r="B501" s="502"/>
      <c r="C501" s="503" t="s">
        <v>478</v>
      </c>
      <c r="D501" s="503"/>
      <c r="E501" s="503"/>
      <c r="F501" s="503"/>
      <c r="G501" s="503"/>
      <c r="H501" s="503"/>
      <c r="I501" s="503"/>
      <c r="J501" s="503"/>
      <c r="K501" s="503"/>
      <c r="L501" s="503"/>
      <c r="M501" s="503"/>
    </row>
    <row r="502" spans="1:13" s="88" customFormat="1" ht="16.5" customHeight="1">
      <c r="A502" s="496" t="s">
        <v>1217</v>
      </c>
      <c r="B502" s="496"/>
      <c r="C502" s="493" t="s">
        <v>3978</v>
      </c>
      <c r="D502" s="493"/>
      <c r="E502" s="493"/>
      <c r="F502" s="493"/>
      <c r="G502" s="493"/>
      <c r="H502" s="493"/>
      <c r="I502" s="493"/>
      <c r="J502" s="493"/>
      <c r="K502" s="493"/>
      <c r="L502" s="493"/>
      <c r="M502" s="493"/>
    </row>
    <row r="503" spans="1:13" s="88" customFormat="1" ht="16.5" customHeight="1">
      <c r="A503" s="496" t="s">
        <v>5786</v>
      </c>
      <c r="B503" s="496"/>
      <c r="C503" s="497" t="s">
        <v>478</v>
      </c>
      <c r="D503" s="497"/>
      <c r="E503" s="497"/>
      <c r="F503" s="497"/>
      <c r="G503" s="497"/>
      <c r="H503" s="497"/>
      <c r="I503" s="497"/>
      <c r="J503" s="497"/>
      <c r="K503" s="497"/>
      <c r="L503" s="497"/>
      <c r="M503" s="497"/>
    </row>
    <row r="504" spans="1:13" s="88" customFormat="1" ht="16.5" customHeight="1">
      <c r="A504" s="496" t="s">
        <v>1220</v>
      </c>
      <c r="B504" s="496"/>
      <c r="C504" s="493" t="s">
        <v>3979</v>
      </c>
      <c r="D504" s="493"/>
      <c r="E504" s="493"/>
      <c r="F504" s="493"/>
      <c r="G504" s="493"/>
      <c r="H504" s="493"/>
      <c r="I504" s="493"/>
      <c r="J504" s="493"/>
      <c r="K504" s="493"/>
      <c r="L504" s="493"/>
      <c r="M504" s="493"/>
    </row>
    <row r="505" spans="1:13" s="88" customFormat="1" ht="16.5" customHeight="1">
      <c r="A505" s="496" t="s">
        <v>5785</v>
      </c>
      <c r="B505" s="496"/>
      <c r="C505" s="493" t="s">
        <v>3980</v>
      </c>
      <c r="D505" s="493"/>
      <c r="E505" s="493"/>
      <c r="F505" s="493"/>
      <c r="G505" s="493"/>
      <c r="H505" s="493"/>
      <c r="I505" s="493"/>
      <c r="J505" s="493"/>
      <c r="K505" s="493"/>
      <c r="L505" s="493"/>
      <c r="M505" s="493"/>
    </row>
    <row r="506" spans="1:13" s="88" customFormat="1" ht="16.5" customHeight="1">
      <c r="A506" s="89" t="s">
        <v>1223</v>
      </c>
      <c r="B506" s="92" t="s">
        <v>3927</v>
      </c>
      <c r="C506" s="493" t="s">
        <v>3981</v>
      </c>
      <c r="D506" s="493"/>
      <c r="E506" s="493"/>
      <c r="F506" s="493"/>
      <c r="G506" s="493"/>
      <c r="H506" s="493"/>
      <c r="I506" s="493"/>
      <c r="J506" s="493"/>
      <c r="K506" s="493"/>
      <c r="L506" s="493"/>
      <c r="M506" s="493"/>
    </row>
    <row r="507" spans="1:13" s="88" customFormat="1" ht="16.5" customHeight="1">
      <c r="A507" s="89"/>
      <c r="B507" s="92" t="s">
        <v>3929</v>
      </c>
      <c r="C507" s="493" t="s">
        <v>3982</v>
      </c>
      <c r="D507" s="493"/>
      <c r="E507" s="493"/>
      <c r="F507" s="493"/>
      <c r="G507" s="493"/>
      <c r="H507" s="493"/>
      <c r="I507" s="493"/>
      <c r="J507" s="493"/>
      <c r="K507" s="493"/>
      <c r="L507" s="493"/>
      <c r="M507" s="493"/>
    </row>
    <row r="508" spans="1:13" s="88" customFormat="1" ht="16.5" customHeight="1">
      <c r="A508" s="89"/>
      <c r="B508" s="90"/>
      <c r="C508" s="493"/>
      <c r="D508" s="493"/>
      <c r="E508" s="493"/>
      <c r="F508" s="493"/>
      <c r="G508" s="493"/>
      <c r="H508" s="493"/>
      <c r="I508" s="493"/>
      <c r="J508" s="493"/>
      <c r="K508" s="493"/>
      <c r="L508" s="493"/>
      <c r="M508" s="493"/>
    </row>
    <row r="509" spans="1:13" s="88" customFormat="1" ht="16.5" customHeight="1">
      <c r="A509" s="89" t="s">
        <v>1228</v>
      </c>
      <c r="B509" s="493"/>
      <c r="C509" s="493"/>
      <c r="D509" s="493"/>
      <c r="E509" s="493"/>
      <c r="F509" s="493"/>
      <c r="G509" s="493"/>
      <c r="H509" s="493"/>
      <c r="I509" s="493"/>
      <c r="J509" s="493"/>
      <c r="K509" s="493"/>
      <c r="L509" s="493"/>
      <c r="M509" s="493"/>
    </row>
    <row r="510" spans="1:13" ht="121.5" customHeight="1">
      <c r="A510" s="89" t="s">
        <v>1229</v>
      </c>
      <c r="B510" s="673" t="s">
        <v>3983</v>
      </c>
      <c r="C510" s="673"/>
      <c r="D510" s="673"/>
      <c r="E510" s="673"/>
      <c r="F510" s="673"/>
      <c r="G510" s="673"/>
      <c r="H510" s="673"/>
      <c r="I510" s="673"/>
      <c r="J510" s="673"/>
      <c r="K510" s="673"/>
      <c r="L510" s="673"/>
      <c r="M510" s="673"/>
    </row>
    <row r="511" spans="1:13" ht="21" customHeight="1">
      <c r="B511" s="494" t="s">
        <v>2863</v>
      </c>
      <c r="C511" s="494"/>
      <c r="D511" s="494"/>
      <c r="E511" s="494"/>
      <c r="F511" s="494"/>
      <c r="G511" s="494"/>
      <c r="H511" s="494"/>
      <c r="I511" s="494"/>
      <c r="J511" s="494"/>
      <c r="K511" s="494"/>
      <c r="L511" s="495"/>
    </row>
    <row r="512" spans="1:13" s="93" customFormat="1" ht="16.5" customHeight="1"/>
    <row r="513" spans="1:6" s="93" customFormat="1" ht="16.5" customHeight="1">
      <c r="A513" s="94" t="s">
        <v>1232</v>
      </c>
      <c r="B513" s="93" t="s">
        <v>1773</v>
      </c>
      <c r="F513" s="4"/>
    </row>
    <row r="514" spans="1:6" ht="16.5" customHeight="1"/>
    <row r="515" spans="1:6" ht="16.5" customHeight="1"/>
    <row r="516" spans="1:6" ht="16.5" customHeight="1">
      <c r="B516" s="93" t="s">
        <v>3953</v>
      </c>
      <c r="C516" s="93"/>
      <c r="D516" s="93"/>
      <c r="E516" s="93"/>
    </row>
    <row r="517" spans="1:6" ht="16.5" customHeight="1">
      <c r="B517" s="95" t="s">
        <v>1248</v>
      </c>
      <c r="C517" s="97" t="s">
        <v>1385</v>
      </c>
      <c r="D517" s="94" t="s">
        <v>3984</v>
      </c>
      <c r="E517" s="104" t="s">
        <v>1238</v>
      </c>
    </row>
    <row r="518" spans="1:6" ht="16.5" customHeight="1">
      <c r="B518" s="99">
        <v>1</v>
      </c>
      <c r="C518" s="101">
        <v>11520</v>
      </c>
      <c r="D518" s="93">
        <f>STEYX(C518:C522,B518:B522)</f>
        <v>541.30706011776101</v>
      </c>
      <c r="E518" s="108" t="s">
        <v>3985</v>
      </c>
    </row>
    <row r="519" spans="1:6" ht="16.5" customHeight="1">
      <c r="B519" s="99">
        <v>2</v>
      </c>
      <c r="C519" s="101">
        <v>13540</v>
      </c>
      <c r="D519" s="93"/>
      <c r="E519" s="93"/>
    </row>
    <row r="520" spans="1:6" ht="16.5" customHeight="1">
      <c r="B520" s="99">
        <v>3</v>
      </c>
      <c r="C520" s="101">
        <v>13280</v>
      </c>
      <c r="D520" s="93"/>
      <c r="E520" s="93"/>
    </row>
    <row r="521" spans="1:6" ht="16.5" customHeight="1">
      <c r="B521" s="99">
        <v>4</v>
      </c>
      <c r="C521" s="101">
        <v>14340</v>
      </c>
      <c r="D521" s="93"/>
      <c r="E521" s="93"/>
    </row>
    <row r="522" spans="1:6" ht="16.5" customHeight="1">
      <c r="B522" s="105">
        <v>5</v>
      </c>
      <c r="C522" s="107">
        <v>15180</v>
      </c>
      <c r="D522" s="93"/>
      <c r="E522" s="93"/>
    </row>
    <row r="523" spans="1:6" ht="16.5" customHeight="1"/>
    <row r="524" spans="1:6" ht="16.5" customHeight="1"/>
    <row r="600" spans="1:13" s="88" customFormat="1" ht="26.25" customHeight="1">
      <c r="A600" s="498" t="s">
        <v>479</v>
      </c>
      <c r="B600" s="498"/>
      <c r="C600" s="499"/>
      <c r="D600" s="87"/>
      <c r="E600" s="500" t="str">
        <f>HYPERLINK("#目录!A282","跳转回到目录页")</f>
        <v>跳转回到目录页</v>
      </c>
      <c r="F600" s="501"/>
    </row>
    <row r="601" spans="1:13" s="88" customFormat="1" ht="26.25" customHeight="1">
      <c r="A601" s="502" t="s">
        <v>1216</v>
      </c>
      <c r="B601" s="502"/>
      <c r="C601" s="503" t="s">
        <v>480</v>
      </c>
      <c r="D601" s="503"/>
      <c r="E601" s="503"/>
      <c r="F601" s="503"/>
      <c r="G601" s="503"/>
      <c r="H601" s="503"/>
      <c r="I601" s="503"/>
      <c r="J601" s="503"/>
      <c r="K601" s="503"/>
      <c r="L601" s="503"/>
      <c r="M601" s="503"/>
    </row>
    <row r="602" spans="1:13" s="88" customFormat="1" ht="16.5" customHeight="1">
      <c r="A602" s="496" t="s">
        <v>1217</v>
      </c>
      <c r="B602" s="496"/>
      <c r="C602" s="493" t="s">
        <v>3986</v>
      </c>
      <c r="D602" s="493"/>
      <c r="E602" s="493"/>
      <c r="F602" s="493"/>
      <c r="G602" s="493"/>
      <c r="H602" s="493"/>
      <c r="I602" s="493"/>
      <c r="J602" s="493"/>
      <c r="K602" s="493"/>
      <c r="L602" s="493"/>
      <c r="M602" s="493"/>
    </row>
    <row r="603" spans="1:13" s="88" customFormat="1" ht="16.5" customHeight="1">
      <c r="A603" s="496" t="s">
        <v>5786</v>
      </c>
      <c r="B603" s="496"/>
      <c r="C603" s="497" t="s">
        <v>480</v>
      </c>
      <c r="D603" s="497"/>
      <c r="E603" s="497"/>
      <c r="F603" s="497"/>
      <c r="G603" s="497"/>
      <c r="H603" s="497"/>
      <c r="I603" s="497"/>
      <c r="J603" s="497"/>
      <c r="K603" s="497"/>
      <c r="L603" s="497"/>
      <c r="M603" s="497"/>
    </row>
    <row r="604" spans="1:13" s="88" customFormat="1" ht="16.5" customHeight="1">
      <c r="A604" s="496" t="s">
        <v>1220</v>
      </c>
      <c r="B604" s="496"/>
      <c r="C604" s="493" t="s">
        <v>3987</v>
      </c>
      <c r="D604" s="493"/>
      <c r="E604" s="493"/>
      <c r="F604" s="493"/>
      <c r="G604" s="493"/>
      <c r="H604" s="493"/>
      <c r="I604" s="493"/>
      <c r="J604" s="493"/>
      <c r="K604" s="493"/>
      <c r="L604" s="493"/>
      <c r="M604" s="493"/>
    </row>
    <row r="605" spans="1:13" s="88" customFormat="1" ht="16.5" customHeight="1">
      <c r="A605" s="496" t="s">
        <v>5785</v>
      </c>
      <c r="B605" s="496"/>
      <c r="C605" s="493" t="s">
        <v>3988</v>
      </c>
      <c r="D605" s="493"/>
      <c r="E605" s="493"/>
      <c r="F605" s="493"/>
      <c r="G605" s="493"/>
      <c r="H605" s="493"/>
      <c r="I605" s="493"/>
      <c r="J605" s="493"/>
      <c r="K605" s="493"/>
      <c r="L605" s="493"/>
      <c r="M605" s="493"/>
    </row>
    <row r="606" spans="1:13" s="88" customFormat="1" ht="16.5" customHeight="1">
      <c r="A606" s="89" t="s">
        <v>1223</v>
      </c>
      <c r="B606" s="92" t="s">
        <v>3927</v>
      </c>
      <c r="C606" s="493" t="s">
        <v>3989</v>
      </c>
      <c r="D606" s="493"/>
      <c r="E606" s="493"/>
      <c r="F606" s="493"/>
      <c r="G606" s="493"/>
      <c r="H606" s="493"/>
      <c r="I606" s="493"/>
      <c r="J606" s="493"/>
      <c r="K606" s="493"/>
      <c r="L606" s="493"/>
      <c r="M606" s="493"/>
    </row>
    <row r="607" spans="1:13" s="88" customFormat="1" ht="16.5" customHeight="1">
      <c r="A607" s="89"/>
      <c r="B607" s="92" t="s">
        <v>3929</v>
      </c>
      <c r="C607" s="493" t="s">
        <v>3989</v>
      </c>
      <c r="D607" s="493"/>
      <c r="E607" s="493"/>
      <c r="F607" s="493"/>
      <c r="G607" s="493"/>
      <c r="H607" s="493"/>
      <c r="I607" s="493"/>
      <c r="J607" s="493"/>
      <c r="K607" s="493"/>
      <c r="L607" s="493"/>
      <c r="M607" s="493"/>
    </row>
    <row r="608" spans="1:13" s="88" customFormat="1" ht="16.5" customHeight="1">
      <c r="A608" s="89"/>
      <c r="B608" s="90"/>
      <c r="C608" s="493"/>
      <c r="D608" s="493"/>
      <c r="E608" s="493"/>
      <c r="F608" s="493"/>
      <c r="G608" s="493"/>
      <c r="H608" s="493"/>
      <c r="I608" s="493"/>
      <c r="J608" s="493"/>
      <c r="K608" s="493"/>
      <c r="L608" s="493"/>
      <c r="M608" s="493"/>
    </row>
    <row r="609" spans="1:13" s="88" customFormat="1" ht="16.5" customHeight="1">
      <c r="A609" s="89" t="s">
        <v>1228</v>
      </c>
      <c r="B609" s="493" t="s">
        <v>3990</v>
      </c>
      <c r="C609" s="493"/>
      <c r="D609" s="493"/>
      <c r="E609" s="493"/>
      <c r="F609" s="493"/>
      <c r="G609" s="493"/>
      <c r="H609" s="493"/>
      <c r="I609" s="493"/>
      <c r="J609" s="493"/>
      <c r="K609" s="493"/>
      <c r="L609" s="493"/>
      <c r="M609" s="493"/>
    </row>
    <row r="610" spans="1:13" ht="120.75" customHeight="1">
      <c r="A610" s="89" t="s">
        <v>1229</v>
      </c>
      <c r="B610" s="673" t="s">
        <v>3991</v>
      </c>
      <c r="C610" s="673"/>
      <c r="D610" s="673"/>
      <c r="E610" s="673"/>
      <c r="F610" s="673"/>
      <c r="G610" s="673"/>
      <c r="H610" s="673"/>
      <c r="I610" s="673"/>
      <c r="J610" s="673"/>
      <c r="K610" s="673"/>
      <c r="L610" s="673"/>
      <c r="M610" s="673"/>
    </row>
    <row r="611" spans="1:13" ht="21" customHeight="1">
      <c r="B611" s="494" t="s">
        <v>2863</v>
      </c>
      <c r="C611" s="494"/>
      <c r="D611" s="494"/>
      <c r="E611" s="494"/>
      <c r="F611" s="494"/>
      <c r="G611" s="494"/>
      <c r="H611" s="494"/>
      <c r="I611" s="494"/>
      <c r="J611" s="494"/>
      <c r="K611" s="494"/>
      <c r="L611" s="495"/>
    </row>
    <row r="612" spans="1:13" s="93" customFormat="1" ht="16.5" customHeight="1"/>
    <row r="613" spans="1:13" s="93" customFormat="1" ht="16.5" customHeight="1">
      <c r="A613" s="94" t="s">
        <v>1232</v>
      </c>
      <c r="B613" s="93" t="s">
        <v>1773</v>
      </c>
      <c r="F613" s="4"/>
    </row>
    <row r="614" spans="1:13" ht="16.5" customHeight="1"/>
    <row r="615" spans="1:13" ht="16.5" customHeight="1"/>
    <row r="616" spans="1:13" ht="16.5" customHeight="1">
      <c r="B616" s="93" t="s">
        <v>3953</v>
      </c>
      <c r="C616" s="93"/>
      <c r="D616" s="93"/>
      <c r="E616" s="93"/>
    </row>
    <row r="617" spans="1:13" ht="16.5" customHeight="1">
      <c r="B617" s="95" t="s">
        <v>1248</v>
      </c>
      <c r="C617" s="97" t="s">
        <v>1385</v>
      </c>
      <c r="D617" s="94" t="s">
        <v>5811</v>
      </c>
      <c r="E617" s="104" t="s">
        <v>1238</v>
      </c>
    </row>
    <row r="618" spans="1:13" ht="16.5" customHeight="1">
      <c r="B618" s="99">
        <v>1</v>
      </c>
      <c r="C618" s="101">
        <v>11520</v>
      </c>
      <c r="D618" s="93">
        <f>RSQ(C618:C622,B618:B622)</f>
        <v>0.88236301736505129</v>
      </c>
      <c r="E618" s="108" t="s">
        <v>3992</v>
      </c>
    </row>
    <row r="619" spans="1:13" ht="16.5" customHeight="1">
      <c r="B619" s="99">
        <v>2</v>
      </c>
      <c r="C619" s="101">
        <v>13540</v>
      </c>
      <c r="D619" s="93"/>
      <c r="E619" s="93"/>
    </row>
    <row r="620" spans="1:13" ht="16.5" customHeight="1">
      <c r="B620" s="99">
        <v>3</v>
      </c>
      <c r="C620" s="101">
        <v>13280</v>
      </c>
      <c r="D620" s="93"/>
      <c r="E620" s="93"/>
    </row>
    <row r="621" spans="1:13" ht="16.5" customHeight="1">
      <c r="B621" s="99">
        <v>4</v>
      </c>
      <c r="C621" s="101">
        <v>14340</v>
      </c>
      <c r="D621" s="93"/>
      <c r="E621" s="93"/>
    </row>
    <row r="622" spans="1:13" ht="16.5" customHeight="1">
      <c r="B622" s="105">
        <v>5</v>
      </c>
      <c r="C622" s="107">
        <v>15180</v>
      </c>
      <c r="D622" s="93"/>
      <c r="E622" s="93"/>
    </row>
    <row r="700" spans="1:13" s="88" customFormat="1" ht="26.25" customHeight="1">
      <c r="A700" s="498" t="s">
        <v>482</v>
      </c>
      <c r="B700" s="498"/>
      <c r="C700" s="499"/>
      <c r="D700" s="87"/>
      <c r="E700" s="500" t="str">
        <f>HYPERLINK("#目录!A284","跳转回到目录页")</f>
        <v>跳转回到目录页</v>
      </c>
      <c r="F700" s="501"/>
    </row>
    <row r="701" spans="1:13" s="88" customFormat="1" ht="26.25" customHeight="1">
      <c r="A701" s="502" t="s">
        <v>1216</v>
      </c>
      <c r="B701" s="502"/>
      <c r="C701" s="503" t="s">
        <v>483</v>
      </c>
      <c r="D701" s="503"/>
      <c r="E701" s="503"/>
      <c r="F701" s="503"/>
      <c r="G701" s="503"/>
      <c r="H701" s="503"/>
      <c r="I701" s="503"/>
      <c r="J701" s="503"/>
      <c r="K701" s="503"/>
      <c r="L701" s="503"/>
      <c r="M701" s="503"/>
    </row>
    <row r="702" spans="1:13" s="88" customFormat="1" ht="24.75" customHeight="1">
      <c r="A702" s="496" t="s">
        <v>1217</v>
      </c>
      <c r="B702" s="496"/>
      <c r="C702" s="493" t="s">
        <v>3993</v>
      </c>
      <c r="D702" s="493"/>
      <c r="E702" s="493"/>
      <c r="F702" s="493"/>
      <c r="G702" s="493"/>
      <c r="H702" s="493"/>
      <c r="I702" s="493"/>
      <c r="J702" s="493"/>
      <c r="K702" s="493"/>
      <c r="L702" s="493"/>
      <c r="M702" s="493"/>
    </row>
    <row r="703" spans="1:13" s="88" customFormat="1" ht="16.5" customHeight="1">
      <c r="A703" s="496" t="s">
        <v>5786</v>
      </c>
      <c r="B703" s="496"/>
      <c r="C703" s="497" t="s">
        <v>483</v>
      </c>
      <c r="D703" s="497"/>
      <c r="E703" s="497"/>
      <c r="F703" s="497"/>
      <c r="G703" s="497"/>
      <c r="H703" s="497"/>
      <c r="I703" s="497"/>
      <c r="J703" s="497"/>
      <c r="K703" s="497"/>
      <c r="L703" s="497"/>
      <c r="M703" s="497"/>
    </row>
    <row r="704" spans="1:13" s="88" customFormat="1" ht="16.5" customHeight="1">
      <c r="A704" s="496" t="s">
        <v>1220</v>
      </c>
      <c r="B704" s="496"/>
      <c r="C704" s="493" t="s">
        <v>3994</v>
      </c>
      <c r="D704" s="493"/>
      <c r="E704" s="493"/>
      <c r="F704" s="493"/>
      <c r="G704" s="493"/>
      <c r="H704" s="493"/>
      <c r="I704" s="493"/>
      <c r="J704" s="493"/>
      <c r="K704" s="493"/>
      <c r="L704" s="493"/>
      <c r="M704" s="493"/>
    </row>
    <row r="705" spans="1:13" s="88" customFormat="1" ht="16.5" customHeight="1">
      <c r="A705" s="496" t="s">
        <v>5785</v>
      </c>
      <c r="B705" s="496"/>
      <c r="C705" s="493" t="s">
        <v>3995</v>
      </c>
      <c r="D705" s="493"/>
      <c r="E705" s="493"/>
      <c r="F705" s="493"/>
      <c r="G705" s="493"/>
      <c r="H705" s="493"/>
      <c r="I705" s="493"/>
      <c r="J705" s="493"/>
      <c r="K705" s="493"/>
      <c r="L705" s="493"/>
      <c r="M705" s="493"/>
    </row>
    <row r="706" spans="1:13" s="88" customFormat="1" ht="16.5" customHeight="1">
      <c r="A706" s="89" t="s">
        <v>1223</v>
      </c>
      <c r="B706" s="92" t="s">
        <v>3927</v>
      </c>
      <c r="C706" s="493" t="s">
        <v>3996</v>
      </c>
      <c r="D706" s="493"/>
      <c r="E706" s="493"/>
      <c r="F706" s="493"/>
      <c r="G706" s="493"/>
      <c r="H706" s="493"/>
      <c r="I706" s="493"/>
      <c r="J706" s="493"/>
      <c r="K706" s="493"/>
      <c r="L706" s="493"/>
      <c r="M706" s="493"/>
    </row>
    <row r="707" spans="1:13" s="88" customFormat="1" ht="16.5" customHeight="1">
      <c r="A707" s="89"/>
      <c r="B707" s="92" t="s">
        <v>3929</v>
      </c>
      <c r="C707" s="493" t="s">
        <v>3997</v>
      </c>
      <c r="D707" s="493"/>
      <c r="E707" s="493"/>
      <c r="F707" s="493"/>
      <c r="G707" s="493"/>
      <c r="H707" s="493"/>
      <c r="I707" s="493"/>
      <c r="J707" s="493"/>
      <c r="K707" s="493"/>
      <c r="L707" s="493"/>
      <c r="M707" s="493"/>
    </row>
    <row r="708" spans="1:13" s="88" customFormat="1" ht="16.5" customHeight="1">
      <c r="A708" s="89"/>
      <c r="B708" s="90" t="s">
        <v>3940</v>
      </c>
      <c r="C708" s="493" t="s">
        <v>3998</v>
      </c>
      <c r="D708" s="493"/>
      <c r="E708" s="493"/>
      <c r="F708" s="493"/>
      <c r="G708" s="493"/>
      <c r="H708" s="493"/>
      <c r="I708" s="493"/>
      <c r="J708" s="493"/>
      <c r="K708" s="493"/>
      <c r="L708" s="493"/>
      <c r="M708" s="493"/>
    </row>
    <row r="709" spans="1:13" s="88" customFormat="1" ht="16.5" customHeight="1">
      <c r="A709" s="89"/>
      <c r="B709" s="90" t="s">
        <v>3942</v>
      </c>
      <c r="C709" s="509" t="s">
        <v>3999</v>
      </c>
      <c r="D709" s="509"/>
      <c r="E709" s="509"/>
      <c r="F709" s="509"/>
      <c r="G709" s="509"/>
      <c r="H709" s="509"/>
      <c r="I709" s="509"/>
      <c r="J709" s="509"/>
      <c r="K709" s="509"/>
      <c r="L709" s="509"/>
      <c r="M709" s="509"/>
    </row>
    <row r="710" spans="1:13" s="88" customFormat="1" ht="16.5" customHeight="1">
      <c r="A710" s="89" t="s">
        <v>1228</v>
      </c>
      <c r="B710" s="493"/>
      <c r="C710" s="493"/>
      <c r="D710" s="493"/>
      <c r="E710" s="493"/>
      <c r="F710" s="493"/>
      <c r="G710" s="493"/>
      <c r="H710" s="493"/>
      <c r="I710" s="493"/>
      <c r="J710" s="493"/>
      <c r="K710" s="493"/>
      <c r="L710" s="493"/>
      <c r="M710" s="493"/>
    </row>
    <row r="711" spans="1:13" ht="168.75" customHeight="1">
      <c r="A711" s="89" t="s">
        <v>1229</v>
      </c>
      <c r="B711" s="673" t="s">
        <v>4000</v>
      </c>
      <c r="C711" s="673"/>
      <c r="D711" s="673"/>
      <c r="E711" s="673"/>
      <c r="F711" s="673"/>
      <c r="G711" s="673"/>
      <c r="H711" s="673"/>
      <c r="I711" s="673"/>
      <c r="J711" s="673"/>
      <c r="K711" s="673"/>
      <c r="L711" s="673"/>
      <c r="M711" s="673"/>
    </row>
    <row r="712" spans="1:13" ht="21" customHeight="1">
      <c r="B712" s="494" t="s">
        <v>2863</v>
      </c>
      <c r="C712" s="494"/>
      <c r="D712" s="494"/>
      <c r="E712" s="494"/>
      <c r="F712" s="494"/>
      <c r="G712" s="494"/>
      <c r="H712" s="494"/>
      <c r="I712" s="494"/>
      <c r="J712" s="494"/>
      <c r="K712" s="494"/>
      <c r="L712" s="495"/>
    </row>
    <row r="713" spans="1:13" s="93" customFormat="1" ht="16.5" customHeight="1"/>
    <row r="714" spans="1:13" s="93" customFormat="1" ht="16.5" customHeight="1">
      <c r="A714" s="94" t="s">
        <v>1232</v>
      </c>
      <c r="B714" s="93" t="s">
        <v>1773</v>
      </c>
      <c r="F714" s="4"/>
      <c r="G714" s="4"/>
    </row>
    <row r="715" spans="1:13" ht="16.5" customHeight="1">
      <c r="B715" s="93"/>
      <c r="C715" s="93"/>
      <c r="D715" s="93"/>
      <c r="E715" s="93"/>
      <c r="F715" s="93"/>
      <c r="G715" s="93"/>
      <c r="H715" s="93"/>
      <c r="I715" s="93"/>
      <c r="J715" s="93"/>
      <c r="K715" s="93"/>
    </row>
    <row r="716" spans="1:13" ht="16.5" customHeight="1">
      <c r="B716" s="93"/>
      <c r="C716" s="93"/>
      <c r="D716" s="93"/>
      <c r="E716" s="93"/>
      <c r="F716" s="93"/>
      <c r="G716" s="93"/>
      <c r="H716" s="93"/>
      <c r="I716" s="93"/>
      <c r="J716" s="93"/>
      <c r="K716" s="93"/>
    </row>
    <row r="717" spans="1:13" ht="16.5" customHeight="1">
      <c r="B717" s="93" t="s">
        <v>4001</v>
      </c>
      <c r="C717" s="93"/>
      <c r="D717" s="93"/>
      <c r="E717" s="93"/>
      <c r="F717" s="93"/>
      <c r="G717" s="93"/>
      <c r="H717" s="93"/>
      <c r="I717" s="93"/>
      <c r="J717" s="93"/>
      <c r="K717" s="93"/>
    </row>
    <row r="718" spans="1:13" ht="16.5" customHeight="1">
      <c r="B718" s="95" t="s">
        <v>4002</v>
      </c>
      <c r="C718" s="97" t="s">
        <v>4003</v>
      </c>
      <c r="D718" s="93"/>
      <c r="E718" s="93"/>
      <c r="F718" s="93"/>
      <c r="G718" s="93"/>
      <c r="H718" s="93"/>
      <c r="I718" s="93"/>
      <c r="J718" s="93"/>
      <c r="K718" s="93"/>
    </row>
    <row r="719" spans="1:13" ht="16.5" customHeight="1">
      <c r="B719" s="99">
        <v>1</v>
      </c>
      <c r="C719" s="101">
        <v>14</v>
      </c>
      <c r="D719" s="93"/>
      <c r="E719" s="93"/>
      <c r="F719" s="93"/>
      <c r="G719" s="93"/>
      <c r="H719" s="93"/>
      <c r="I719" s="93"/>
      <c r="J719" s="93"/>
      <c r="K719" s="93"/>
    </row>
    <row r="720" spans="1:13" ht="16.5" customHeight="1">
      <c r="B720" s="99">
        <v>2</v>
      </c>
      <c r="C720" s="101">
        <v>147</v>
      </c>
      <c r="D720" s="93"/>
      <c r="E720" s="93"/>
      <c r="F720" s="93"/>
      <c r="G720" s="93"/>
      <c r="H720" s="93"/>
      <c r="I720" s="93"/>
      <c r="J720" s="93"/>
      <c r="K720" s="93"/>
    </row>
    <row r="721" spans="2:11" ht="16.5" customHeight="1">
      <c r="B721" s="99">
        <v>3</v>
      </c>
      <c r="C721" s="101">
        <v>624</v>
      </c>
      <c r="D721" s="93"/>
      <c r="E721" s="191" t="s">
        <v>4004</v>
      </c>
      <c r="F721" s="191"/>
      <c r="G721" s="93"/>
      <c r="H721" s="93"/>
      <c r="I721" s="93"/>
      <c r="J721" s="93"/>
      <c r="K721" s="93"/>
    </row>
    <row r="722" spans="2:11" ht="16.5" customHeight="1">
      <c r="B722" s="99">
        <v>4</v>
      </c>
      <c r="C722" s="101">
        <v>2583</v>
      </c>
      <c r="D722" s="93"/>
      <c r="E722" s="93"/>
      <c r="F722" s="93"/>
      <c r="G722" s="93"/>
      <c r="H722" s="93"/>
      <c r="I722" s="93"/>
      <c r="J722" s="93"/>
      <c r="K722" s="93"/>
    </row>
    <row r="723" spans="2:11" ht="16.5" customHeight="1">
      <c r="B723" s="99">
        <v>5</v>
      </c>
      <c r="C723" s="101">
        <v>12658</v>
      </c>
      <c r="D723" s="104" t="s">
        <v>1238</v>
      </c>
      <c r="F723" s="93"/>
      <c r="G723" s="93"/>
      <c r="H723" s="93"/>
      <c r="I723" s="93"/>
      <c r="J723" s="93"/>
      <c r="K723" s="93"/>
    </row>
    <row r="724" spans="2:11" ht="16.5" customHeight="1">
      <c r="B724" s="99">
        <v>6</v>
      </c>
      <c r="C724" s="179">
        <f t="array" ref="C724:C725">GROWTH(C719:C723,B719:B723,B724:B725)</f>
        <v>74440.322564839458</v>
      </c>
      <c r="D724" s="108" t="s">
        <v>4005</v>
      </c>
      <c r="F724" s="93"/>
      <c r="G724" s="93"/>
      <c r="H724" s="93"/>
      <c r="I724" s="93"/>
      <c r="J724" s="93"/>
      <c r="K724" s="93"/>
    </row>
    <row r="725" spans="2:11" ht="16.5" customHeight="1">
      <c r="B725" s="105">
        <v>7</v>
      </c>
      <c r="C725" s="190">
        <v>386844.44478264352</v>
      </c>
      <c r="D725" s="93" t="s">
        <v>4006</v>
      </c>
      <c r="E725" s="93"/>
      <c r="F725" s="93"/>
      <c r="G725" s="93"/>
      <c r="H725" s="93"/>
      <c r="I725" s="93"/>
      <c r="J725" s="93"/>
      <c r="K725" s="93"/>
    </row>
    <row r="726" spans="2:11">
      <c r="B726" s="93"/>
      <c r="C726" s="93"/>
      <c r="D726" s="93"/>
      <c r="E726" s="93"/>
      <c r="F726" s="93"/>
      <c r="G726" s="93"/>
      <c r="H726" s="93"/>
      <c r="I726" s="93"/>
      <c r="J726" s="93"/>
      <c r="K726" s="93"/>
    </row>
    <row r="727" spans="2:11">
      <c r="B727" s="93"/>
      <c r="C727" s="93"/>
      <c r="D727" s="93"/>
      <c r="E727" s="93"/>
      <c r="F727" s="93"/>
      <c r="G727" s="93"/>
      <c r="H727" s="93"/>
      <c r="I727" s="93"/>
      <c r="J727" s="93"/>
      <c r="K727" s="93"/>
    </row>
    <row r="774" spans="8:8">
      <c r="H774" s="173"/>
    </row>
    <row r="775" spans="8:8">
      <c r="H775" s="173"/>
    </row>
    <row r="776" spans="8:8">
      <c r="H776" s="173"/>
    </row>
    <row r="777" spans="8:8">
      <c r="H777" s="173"/>
    </row>
    <row r="778" spans="8:8">
      <c r="H778" s="173"/>
    </row>
    <row r="779" spans="8:8">
      <c r="H779" s="173"/>
    </row>
    <row r="800" spans="1:6" s="88" customFormat="1" ht="26.25" customHeight="1">
      <c r="A800" s="498" t="s">
        <v>484</v>
      </c>
      <c r="B800" s="498"/>
      <c r="C800" s="499"/>
      <c r="D800" s="87"/>
      <c r="E800" s="500" t="str">
        <f>HYPERLINK("#目录!A285","跳转回到目录页")</f>
        <v>跳转回到目录页</v>
      </c>
      <c r="F800" s="501"/>
    </row>
    <row r="801" spans="1:13" s="88" customFormat="1" ht="26.25" customHeight="1">
      <c r="A801" s="502" t="s">
        <v>1216</v>
      </c>
      <c r="B801" s="502"/>
      <c r="C801" s="503" t="s">
        <v>485</v>
      </c>
      <c r="D801" s="503"/>
      <c r="E801" s="503"/>
      <c r="F801" s="503"/>
      <c r="G801" s="503"/>
      <c r="H801" s="503"/>
      <c r="I801" s="503"/>
      <c r="J801" s="503"/>
      <c r="K801" s="503"/>
      <c r="L801" s="503"/>
      <c r="M801" s="503"/>
    </row>
    <row r="802" spans="1:13" s="88" customFormat="1" ht="16.5" customHeight="1">
      <c r="A802" s="496" t="s">
        <v>1217</v>
      </c>
      <c r="B802" s="496"/>
      <c r="C802" s="493" t="s">
        <v>4007</v>
      </c>
      <c r="D802" s="493"/>
      <c r="E802" s="493"/>
      <c r="F802" s="493"/>
      <c r="G802" s="493"/>
      <c r="H802" s="493"/>
      <c r="I802" s="493"/>
      <c r="J802" s="493"/>
      <c r="K802" s="493"/>
      <c r="L802" s="493"/>
      <c r="M802" s="493"/>
    </row>
    <row r="803" spans="1:13" s="88" customFormat="1" ht="16.5" customHeight="1">
      <c r="A803" s="496" t="s">
        <v>5786</v>
      </c>
      <c r="B803" s="496"/>
      <c r="C803" s="497" t="s">
        <v>485</v>
      </c>
      <c r="D803" s="497"/>
      <c r="E803" s="497"/>
      <c r="F803" s="497"/>
      <c r="G803" s="497"/>
      <c r="H803" s="497"/>
      <c r="I803" s="497"/>
      <c r="J803" s="497"/>
      <c r="K803" s="497"/>
      <c r="L803" s="497"/>
      <c r="M803" s="497"/>
    </row>
    <row r="804" spans="1:13" s="88" customFormat="1" ht="16.5" customHeight="1">
      <c r="A804" s="496" t="s">
        <v>1220</v>
      </c>
      <c r="B804" s="496"/>
      <c r="C804" s="493" t="s">
        <v>4008</v>
      </c>
      <c r="D804" s="493"/>
      <c r="E804" s="493"/>
      <c r="F804" s="493"/>
      <c r="G804" s="493"/>
      <c r="H804" s="493"/>
      <c r="I804" s="493"/>
      <c r="J804" s="493"/>
      <c r="K804" s="493"/>
      <c r="L804" s="493"/>
      <c r="M804" s="493"/>
    </row>
    <row r="805" spans="1:13" s="88" customFormat="1" ht="16.5" customHeight="1">
      <c r="A805" s="496" t="s">
        <v>5785</v>
      </c>
      <c r="B805" s="496"/>
      <c r="C805" s="493" t="s">
        <v>4009</v>
      </c>
      <c r="D805" s="493"/>
      <c r="E805" s="493"/>
      <c r="F805" s="493"/>
      <c r="G805" s="493"/>
      <c r="H805" s="493"/>
      <c r="I805" s="493"/>
      <c r="J805" s="493"/>
      <c r="K805" s="493"/>
      <c r="L805" s="493"/>
      <c r="M805" s="493"/>
    </row>
    <row r="806" spans="1:13" s="88" customFormat="1" ht="16.5" customHeight="1">
      <c r="A806" s="89" t="s">
        <v>1223</v>
      </c>
      <c r="B806" s="92" t="s">
        <v>3927</v>
      </c>
      <c r="C806" s="493" t="s">
        <v>3996</v>
      </c>
      <c r="D806" s="493"/>
      <c r="E806" s="493"/>
      <c r="F806" s="493"/>
      <c r="G806" s="493"/>
      <c r="H806" s="493"/>
      <c r="I806" s="493"/>
      <c r="J806" s="493"/>
      <c r="K806" s="493"/>
      <c r="L806" s="493"/>
      <c r="M806" s="493"/>
    </row>
    <row r="807" spans="1:13" s="88" customFormat="1" ht="16.5" customHeight="1">
      <c r="A807" s="89"/>
      <c r="B807" s="92" t="s">
        <v>3929</v>
      </c>
      <c r="C807" s="493" t="s">
        <v>3997</v>
      </c>
      <c r="D807" s="493"/>
      <c r="E807" s="493"/>
      <c r="F807" s="493"/>
      <c r="G807" s="493"/>
      <c r="H807" s="493"/>
      <c r="I807" s="493"/>
      <c r="J807" s="493"/>
      <c r="K807" s="493"/>
      <c r="L807" s="493"/>
      <c r="M807" s="493"/>
    </row>
    <row r="808" spans="1:13" s="88" customFormat="1" ht="16.5" customHeight="1">
      <c r="A808" s="89"/>
      <c r="B808" s="92" t="s">
        <v>3942</v>
      </c>
      <c r="C808" s="493" t="s">
        <v>3999</v>
      </c>
      <c r="D808" s="493"/>
      <c r="E808" s="493"/>
      <c r="F808" s="493"/>
      <c r="G808" s="493"/>
      <c r="H808" s="493"/>
      <c r="I808" s="493"/>
      <c r="J808" s="493"/>
      <c r="K808" s="493"/>
      <c r="L808" s="493"/>
      <c r="M808" s="493"/>
    </row>
    <row r="809" spans="1:13" s="88" customFormat="1" ht="16.5" customHeight="1">
      <c r="A809" s="89"/>
      <c r="B809" s="90" t="s">
        <v>3973</v>
      </c>
      <c r="C809" s="493" t="s">
        <v>3974</v>
      </c>
      <c r="D809" s="493"/>
      <c r="E809" s="493"/>
      <c r="F809" s="493"/>
      <c r="G809" s="493"/>
      <c r="H809" s="493"/>
      <c r="I809" s="493"/>
      <c r="J809" s="493"/>
      <c r="K809" s="493"/>
      <c r="L809" s="493"/>
      <c r="M809" s="493"/>
    </row>
    <row r="810" spans="1:13" s="88" customFormat="1" ht="16.5" customHeight="1">
      <c r="A810" s="89" t="s">
        <v>1228</v>
      </c>
      <c r="B810" s="493"/>
      <c r="C810" s="493"/>
      <c r="D810" s="493"/>
      <c r="E810" s="493"/>
      <c r="F810" s="493"/>
      <c r="G810" s="493"/>
      <c r="H810" s="493"/>
      <c r="I810" s="493"/>
      <c r="J810" s="493"/>
      <c r="K810" s="493"/>
      <c r="L810" s="493"/>
      <c r="M810" s="493"/>
    </row>
    <row r="811" spans="1:13" ht="38.25" customHeight="1">
      <c r="A811" s="89" t="s">
        <v>1229</v>
      </c>
      <c r="B811" s="493" t="s">
        <v>4010</v>
      </c>
      <c r="C811" s="493"/>
      <c r="D811" s="493"/>
      <c r="E811" s="493"/>
      <c r="F811" s="493"/>
      <c r="G811" s="493"/>
      <c r="H811" s="493"/>
      <c r="I811" s="493"/>
      <c r="J811" s="493"/>
      <c r="K811" s="493"/>
      <c r="L811" s="493"/>
      <c r="M811" s="493"/>
    </row>
    <row r="812" spans="1:13" ht="21" customHeight="1">
      <c r="B812" s="494" t="s">
        <v>2863</v>
      </c>
      <c r="C812" s="494"/>
      <c r="D812" s="494"/>
      <c r="E812" s="494"/>
      <c r="F812" s="494"/>
      <c r="G812" s="494"/>
      <c r="H812" s="494"/>
      <c r="I812" s="494"/>
      <c r="J812" s="494"/>
      <c r="K812" s="494"/>
      <c r="L812" s="495"/>
    </row>
    <row r="813" spans="1:13" s="93" customFormat="1" ht="16.5" customHeight="1"/>
    <row r="814" spans="1:13" s="93" customFormat="1" ht="16.5" customHeight="1">
      <c r="A814" s="94" t="s">
        <v>1232</v>
      </c>
      <c r="B814" s="93" t="s">
        <v>1773</v>
      </c>
    </row>
    <row r="815" spans="1:13" ht="16.5" customHeight="1">
      <c r="B815" s="93"/>
      <c r="C815" s="93"/>
      <c r="D815" s="93"/>
      <c r="E815" s="93"/>
      <c r="F815" s="93"/>
      <c r="G815" s="93"/>
      <c r="H815" s="93"/>
      <c r="I815" s="93"/>
      <c r="J815" s="93"/>
      <c r="K815" s="93"/>
    </row>
    <row r="816" spans="1:13" ht="16.5" customHeight="1">
      <c r="B816" s="93" t="s">
        <v>4001</v>
      </c>
      <c r="C816" s="93"/>
      <c r="D816" s="93"/>
      <c r="E816" s="93"/>
      <c r="F816" s="93"/>
      <c r="G816" s="93"/>
      <c r="H816" s="93"/>
      <c r="I816" s="93"/>
      <c r="J816" s="93"/>
      <c r="K816" s="93"/>
    </row>
    <row r="817" spans="2:11" ht="16.5" customHeight="1">
      <c r="B817" s="95" t="s">
        <v>4002</v>
      </c>
      <c r="C817" s="97" t="s">
        <v>4003</v>
      </c>
      <c r="D817" s="93"/>
      <c r="E817" s="94" t="s">
        <v>4011</v>
      </c>
      <c r="F817" s="94" t="s">
        <v>3976</v>
      </c>
      <c r="G817" s="104" t="s">
        <v>1238</v>
      </c>
      <c r="H817" s="93"/>
      <c r="I817" s="93"/>
      <c r="J817" s="93"/>
      <c r="K817" s="93"/>
    </row>
    <row r="818" spans="2:11" ht="16.5" customHeight="1">
      <c r="B818" s="99">
        <v>1</v>
      </c>
      <c r="C818" s="101">
        <v>14</v>
      </c>
      <c r="D818" s="93"/>
      <c r="E818" s="93">
        <f t="array" ref="E818:F818">LOGEST(C818:C822,B818:B822,TRUE,FALSE)</f>
        <v>5.1967056489537891</v>
      </c>
      <c r="F818" s="93">
        <v>3.779545140960952</v>
      </c>
      <c r="G818" s="108" t="s">
        <v>4012</v>
      </c>
      <c r="H818" s="93"/>
      <c r="I818" s="93"/>
      <c r="J818" s="93"/>
      <c r="K818" s="93"/>
    </row>
    <row r="819" spans="2:11" ht="16.5" customHeight="1">
      <c r="B819" s="99">
        <v>2</v>
      </c>
      <c r="C819" s="101">
        <v>147</v>
      </c>
      <c r="D819" s="93"/>
      <c r="E819" s="93"/>
      <c r="F819" s="93"/>
      <c r="G819" s="93" t="s">
        <v>4006</v>
      </c>
      <c r="H819" s="93"/>
      <c r="I819" s="93"/>
      <c r="J819" s="93"/>
      <c r="K819" s="93"/>
    </row>
    <row r="820" spans="2:11" ht="16.5" customHeight="1">
      <c r="B820" s="99">
        <v>3</v>
      </c>
      <c r="C820" s="101">
        <v>624</v>
      </c>
      <c r="D820" s="93"/>
      <c r="E820" s="93"/>
      <c r="F820" s="93"/>
      <c r="G820" s="93"/>
      <c r="H820" s="93"/>
      <c r="I820" s="93"/>
      <c r="J820" s="93"/>
      <c r="K820" s="93"/>
    </row>
    <row r="821" spans="2:11" ht="16.5" customHeight="1">
      <c r="B821" s="99">
        <v>4</v>
      </c>
      <c r="C821" s="101">
        <v>2583</v>
      </c>
      <c r="D821" s="93"/>
      <c r="E821" s="93"/>
      <c r="F821" s="93"/>
      <c r="G821" s="93"/>
      <c r="H821" s="93"/>
      <c r="I821" s="93"/>
      <c r="J821" s="93"/>
      <c r="K821" s="93"/>
    </row>
    <row r="822" spans="2:11" ht="16.5" customHeight="1">
      <c r="B822" s="99">
        <v>5</v>
      </c>
      <c r="C822" s="101">
        <v>12658</v>
      </c>
      <c r="E822" s="93"/>
      <c r="F822" s="93"/>
      <c r="G822" s="93"/>
      <c r="H822" s="93"/>
      <c r="I822" s="93"/>
      <c r="J822" s="93"/>
      <c r="K822" s="93"/>
    </row>
    <row r="823" spans="2:11" ht="16.5" customHeight="1">
      <c r="B823" s="93"/>
      <c r="C823" s="93"/>
      <c r="E823" s="93"/>
      <c r="F823" s="93"/>
      <c r="G823" s="93"/>
      <c r="H823" s="93"/>
      <c r="I823" s="93"/>
      <c r="J823" s="93"/>
      <c r="K823" s="93"/>
    </row>
    <row r="824" spans="2:11" ht="16.5" customHeight="1">
      <c r="B824" s="93"/>
      <c r="C824" s="93"/>
      <c r="E824" s="93"/>
      <c r="F824" s="93" t="s">
        <v>3592</v>
      </c>
      <c r="G824" s="93"/>
      <c r="H824" s="93"/>
      <c r="I824" s="93"/>
      <c r="J824" s="93"/>
      <c r="K824" s="93"/>
    </row>
    <row r="825" spans="2:11">
      <c r="B825" s="93"/>
      <c r="C825" s="93"/>
      <c r="D825" s="93"/>
      <c r="E825" s="93"/>
      <c r="F825" s="93"/>
      <c r="G825" s="93"/>
      <c r="H825" s="93"/>
      <c r="I825" s="93"/>
      <c r="J825" s="93"/>
      <c r="K825" s="93"/>
    </row>
    <row r="826" spans="2:11">
      <c r="B826" s="93"/>
      <c r="C826" s="93"/>
      <c r="D826" s="93"/>
      <c r="E826" s="93"/>
      <c r="F826" s="93" t="s">
        <v>3592</v>
      </c>
      <c r="G826" s="93"/>
      <c r="H826" s="93"/>
      <c r="I826" s="93"/>
      <c r="J826" s="93"/>
      <c r="K826" s="93"/>
    </row>
    <row r="828" spans="2:11">
      <c r="F828" s="4" t="s">
        <v>3592</v>
      </c>
    </row>
    <row r="830" spans="2:11">
      <c r="F830" s="4" t="s">
        <v>3592</v>
      </c>
    </row>
  </sheetData>
  <mergeCells count="166">
    <mergeCell ref="A1:C1"/>
    <mergeCell ref="E1:F1"/>
    <mergeCell ref="A2:B2"/>
    <mergeCell ref="C2:M2"/>
    <mergeCell ref="A3:B3"/>
    <mergeCell ref="C3:M3"/>
    <mergeCell ref="C7:M7"/>
    <mergeCell ref="C8:M8"/>
    <mergeCell ref="C9:M9"/>
    <mergeCell ref="B10:M10"/>
    <mergeCell ref="B11:M11"/>
    <mergeCell ref="B12:L12"/>
    <mergeCell ref="A4:B4"/>
    <mergeCell ref="C4:M4"/>
    <mergeCell ref="A5:B5"/>
    <mergeCell ref="C5:M5"/>
    <mergeCell ref="A6:B6"/>
    <mergeCell ref="C6:M6"/>
    <mergeCell ref="A103:B103"/>
    <mergeCell ref="C103:M103"/>
    <mergeCell ref="A104:B104"/>
    <mergeCell ref="C104:M104"/>
    <mergeCell ref="A105:B105"/>
    <mergeCell ref="C105:M105"/>
    <mergeCell ref="A100:C100"/>
    <mergeCell ref="E100:F100"/>
    <mergeCell ref="A101:B101"/>
    <mergeCell ref="C101:M101"/>
    <mergeCell ref="A102:B102"/>
    <mergeCell ref="C102:M102"/>
    <mergeCell ref="B112:L112"/>
    <mergeCell ref="A200:C200"/>
    <mergeCell ref="E200:F200"/>
    <mergeCell ref="A201:B201"/>
    <mergeCell ref="C201:M201"/>
    <mergeCell ref="A202:B202"/>
    <mergeCell ref="C202:M202"/>
    <mergeCell ref="C106:M106"/>
    <mergeCell ref="C107:M107"/>
    <mergeCell ref="C108:M108"/>
    <mergeCell ref="C109:M109"/>
    <mergeCell ref="B110:M110"/>
    <mergeCell ref="B111:M111"/>
    <mergeCell ref="C206:M206"/>
    <mergeCell ref="C207:M207"/>
    <mergeCell ref="C208:M208"/>
    <mergeCell ref="B209:M209"/>
    <mergeCell ref="B210:M210"/>
    <mergeCell ref="B211:L211"/>
    <mergeCell ref="A203:B203"/>
    <mergeCell ref="C203:M203"/>
    <mergeCell ref="A204:B204"/>
    <mergeCell ref="C204:M204"/>
    <mergeCell ref="A205:B205"/>
    <mergeCell ref="C205:M205"/>
    <mergeCell ref="A303:B303"/>
    <mergeCell ref="C303:M303"/>
    <mergeCell ref="A304:B304"/>
    <mergeCell ref="C304:M304"/>
    <mergeCell ref="A305:B305"/>
    <mergeCell ref="C305:M305"/>
    <mergeCell ref="A300:C300"/>
    <mergeCell ref="E300:F300"/>
    <mergeCell ref="A301:B301"/>
    <mergeCell ref="C301:M301"/>
    <mergeCell ref="A302:B302"/>
    <mergeCell ref="C302:M302"/>
    <mergeCell ref="A400:C400"/>
    <mergeCell ref="E400:F400"/>
    <mergeCell ref="A401:B401"/>
    <mergeCell ref="C401:M401"/>
    <mergeCell ref="A402:B402"/>
    <mergeCell ref="C402:M402"/>
    <mergeCell ref="C306:M306"/>
    <mergeCell ref="C307:M307"/>
    <mergeCell ref="C308:M308"/>
    <mergeCell ref="B309:M309"/>
    <mergeCell ref="B310:M310"/>
    <mergeCell ref="B311:L311"/>
    <mergeCell ref="C406:M406"/>
    <mergeCell ref="C407:M407"/>
    <mergeCell ref="C408:M408"/>
    <mergeCell ref="C409:M409"/>
    <mergeCell ref="B410:M410"/>
    <mergeCell ref="B411:M411"/>
    <mergeCell ref="A403:B403"/>
    <mergeCell ref="C403:M403"/>
    <mergeCell ref="A404:B404"/>
    <mergeCell ref="C404:M404"/>
    <mergeCell ref="A405:B405"/>
    <mergeCell ref="C405:M405"/>
    <mergeCell ref="A503:B503"/>
    <mergeCell ref="C503:M503"/>
    <mergeCell ref="A504:B504"/>
    <mergeCell ref="C504:M504"/>
    <mergeCell ref="A505:B505"/>
    <mergeCell ref="C505:M505"/>
    <mergeCell ref="B412:L412"/>
    <mergeCell ref="A500:C500"/>
    <mergeCell ref="E500:F500"/>
    <mergeCell ref="A501:B501"/>
    <mergeCell ref="C501:M501"/>
    <mergeCell ref="A502:B502"/>
    <mergeCell ref="C502:M502"/>
    <mergeCell ref="A600:C600"/>
    <mergeCell ref="E600:F600"/>
    <mergeCell ref="A601:B601"/>
    <mergeCell ref="C601:M601"/>
    <mergeCell ref="A602:B602"/>
    <mergeCell ref="C602:M602"/>
    <mergeCell ref="C506:M506"/>
    <mergeCell ref="C507:M507"/>
    <mergeCell ref="C508:M508"/>
    <mergeCell ref="B509:M509"/>
    <mergeCell ref="B510:M510"/>
    <mergeCell ref="B511:L511"/>
    <mergeCell ref="C606:M606"/>
    <mergeCell ref="C607:M607"/>
    <mergeCell ref="C608:M608"/>
    <mergeCell ref="B609:M609"/>
    <mergeCell ref="B610:M610"/>
    <mergeCell ref="B611:L611"/>
    <mergeCell ref="A603:B603"/>
    <mergeCell ref="C603:M603"/>
    <mergeCell ref="A604:B604"/>
    <mergeCell ref="C604:M604"/>
    <mergeCell ref="A605:B605"/>
    <mergeCell ref="C605:M605"/>
    <mergeCell ref="A703:B703"/>
    <mergeCell ref="C703:M703"/>
    <mergeCell ref="A704:B704"/>
    <mergeCell ref="C704:M704"/>
    <mergeCell ref="A705:B705"/>
    <mergeCell ref="C705:M705"/>
    <mergeCell ref="A700:C700"/>
    <mergeCell ref="E700:F700"/>
    <mergeCell ref="A701:B701"/>
    <mergeCell ref="C701:M701"/>
    <mergeCell ref="A702:B702"/>
    <mergeCell ref="C702:M702"/>
    <mergeCell ref="B712:L712"/>
    <mergeCell ref="A800:C800"/>
    <mergeCell ref="E800:F800"/>
    <mergeCell ref="A801:B801"/>
    <mergeCell ref="C801:M801"/>
    <mergeCell ref="A802:B802"/>
    <mergeCell ref="C802:M802"/>
    <mergeCell ref="C706:M706"/>
    <mergeCell ref="C707:M707"/>
    <mergeCell ref="C708:M708"/>
    <mergeCell ref="C709:M709"/>
    <mergeCell ref="B710:M710"/>
    <mergeCell ref="B711:M711"/>
    <mergeCell ref="B812:L812"/>
    <mergeCell ref="C806:M806"/>
    <mergeCell ref="C807:M807"/>
    <mergeCell ref="C808:M808"/>
    <mergeCell ref="C809:M809"/>
    <mergeCell ref="B810:M810"/>
    <mergeCell ref="B811:M811"/>
    <mergeCell ref="A803:B803"/>
    <mergeCell ref="C803:M803"/>
    <mergeCell ref="A804:B804"/>
    <mergeCell ref="C804:M804"/>
    <mergeCell ref="A805:B805"/>
    <mergeCell ref="C805:M805"/>
  </mergeCells>
  <phoneticPr fontId="2" type="noConversion"/>
  <pageMargins left="0.75" right="0.75" top="1" bottom="1" header="0.5" footer="0.5"/>
  <headerFooter scaleWithDoc="0"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8"/>
  <dimension ref="A1:AV224"/>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785</v>
      </c>
      <c r="B1" s="498"/>
      <c r="C1" s="499"/>
      <c r="D1" s="87"/>
      <c r="E1" s="500" t="str">
        <f>HYPERLINK("#目录!A287","跳转回到目录页")</f>
        <v>跳转回到目录页</v>
      </c>
      <c r="F1" s="501"/>
    </row>
    <row r="2" spans="1:48" s="88" customFormat="1" ht="26.25" customHeight="1">
      <c r="A2" s="502" t="s">
        <v>1216</v>
      </c>
      <c r="B2" s="502"/>
      <c r="C2" s="503" t="s">
        <v>486</v>
      </c>
      <c r="D2" s="503"/>
      <c r="E2" s="503"/>
      <c r="F2" s="503"/>
      <c r="G2" s="503"/>
      <c r="H2" s="503"/>
      <c r="I2" s="503"/>
      <c r="J2" s="503"/>
      <c r="K2" s="503"/>
      <c r="L2" s="503"/>
      <c r="M2" s="503"/>
    </row>
    <row r="3" spans="1:48" s="88" customFormat="1" ht="16.5" customHeight="1">
      <c r="A3" s="496" t="s">
        <v>1217</v>
      </c>
      <c r="B3" s="496"/>
      <c r="C3" s="493" t="s">
        <v>4013</v>
      </c>
      <c r="D3" s="493"/>
      <c r="E3" s="493"/>
      <c r="F3" s="493"/>
      <c r="G3" s="493"/>
      <c r="H3" s="493"/>
      <c r="I3" s="493"/>
      <c r="J3" s="493"/>
      <c r="K3" s="493"/>
      <c r="L3" s="493"/>
      <c r="M3" s="493"/>
    </row>
    <row r="4" spans="1:48" s="88" customFormat="1" ht="16.5" customHeight="1">
      <c r="A4" s="496" t="s">
        <v>5786</v>
      </c>
      <c r="B4" s="496"/>
      <c r="C4" s="497" t="s">
        <v>4014</v>
      </c>
      <c r="D4" s="497"/>
      <c r="E4" s="497"/>
      <c r="F4" s="497"/>
      <c r="G4" s="497"/>
      <c r="H4" s="497"/>
      <c r="I4" s="497"/>
      <c r="J4" s="497"/>
      <c r="K4" s="497"/>
      <c r="L4" s="497"/>
      <c r="M4" s="497"/>
    </row>
    <row r="5" spans="1:48" s="88" customFormat="1" ht="16.5" customHeight="1">
      <c r="A5" s="496" t="s">
        <v>1220</v>
      </c>
      <c r="B5" s="496"/>
      <c r="C5" s="493" t="s">
        <v>4015</v>
      </c>
      <c r="D5" s="493"/>
      <c r="E5" s="493"/>
      <c r="F5" s="493"/>
      <c r="G5" s="493"/>
      <c r="H5" s="493"/>
      <c r="I5" s="493"/>
      <c r="J5" s="493"/>
      <c r="K5" s="493"/>
      <c r="L5" s="493"/>
      <c r="M5" s="493"/>
    </row>
    <row r="6" spans="1:48" s="88" customFormat="1" ht="16.5" customHeight="1">
      <c r="A6" s="496" t="s">
        <v>5785</v>
      </c>
      <c r="B6" s="496"/>
      <c r="C6" s="493" t="s">
        <v>4016</v>
      </c>
      <c r="D6" s="493"/>
      <c r="E6" s="493"/>
      <c r="F6" s="493"/>
      <c r="G6" s="493"/>
      <c r="H6" s="493"/>
      <c r="I6" s="493"/>
      <c r="J6" s="493"/>
      <c r="K6" s="493"/>
      <c r="L6" s="493"/>
      <c r="M6" s="493"/>
    </row>
    <row r="7" spans="1:48" s="88" customFormat="1" ht="16.5" customHeight="1">
      <c r="A7" s="89" t="s">
        <v>1223</v>
      </c>
      <c r="B7" s="92" t="s">
        <v>2590</v>
      </c>
      <c r="C7" s="493" t="s">
        <v>4017</v>
      </c>
      <c r="D7" s="493"/>
      <c r="E7" s="493"/>
      <c r="F7" s="493"/>
      <c r="G7" s="493"/>
      <c r="H7" s="493"/>
      <c r="I7" s="493"/>
      <c r="J7" s="493"/>
      <c r="K7" s="493"/>
      <c r="L7" s="493"/>
      <c r="M7" s="493"/>
    </row>
    <row r="8" spans="1:48" s="88" customFormat="1" ht="16.5" customHeight="1">
      <c r="A8" s="89"/>
      <c r="B8" s="92" t="s">
        <v>4018</v>
      </c>
      <c r="C8" s="493" t="s">
        <v>4019</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38.25" customHeight="1">
      <c r="A11" s="89" t="s">
        <v>1229</v>
      </c>
      <c r="B11" s="493" t="s">
        <v>4020</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5" t="s">
        <v>3963</v>
      </c>
      <c r="C17" s="97" t="s">
        <v>4021</v>
      </c>
      <c r="E17" s="94" t="s">
        <v>4022</v>
      </c>
      <c r="F17" s="104" t="s">
        <v>1238</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9">
        <v>12.1</v>
      </c>
      <c r="C18" s="101">
        <v>421</v>
      </c>
      <c r="E18" s="93">
        <f>CORREL(B18:B23,C18:C23)</f>
        <v>0.98567022860976528</v>
      </c>
      <c r="F18" s="108" t="s">
        <v>4023</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15.3</v>
      </c>
      <c r="C19" s="101">
        <v>1356</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v>18.600000000000001</v>
      </c>
      <c r="C20" s="101">
        <v>2864</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v>21.7</v>
      </c>
      <c r="C21" s="101">
        <v>4659</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v>26.1</v>
      </c>
      <c r="C22" s="101">
        <v>8558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05">
        <v>32.1</v>
      </c>
      <c r="C23" s="107">
        <v>10239</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1068</v>
      </c>
      <c r="B100" s="498"/>
      <c r="C100" s="499"/>
      <c r="D100" s="87"/>
      <c r="E100" s="500" t="str">
        <f>HYPERLINK("#目录!A288","跳转回到目录页")</f>
        <v>跳转回到目录页</v>
      </c>
      <c r="F100" s="501"/>
    </row>
    <row r="101" spans="1:13" s="88" customFormat="1" ht="26.25" customHeight="1">
      <c r="A101" s="502" t="s">
        <v>1216</v>
      </c>
      <c r="B101" s="502"/>
      <c r="C101" s="503" t="s">
        <v>486</v>
      </c>
      <c r="D101" s="503"/>
      <c r="E101" s="503"/>
      <c r="F101" s="503"/>
      <c r="G101" s="503"/>
      <c r="H101" s="503"/>
      <c r="I101" s="503"/>
      <c r="J101" s="503"/>
      <c r="K101" s="503"/>
      <c r="L101" s="503"/>
      <c r="M101" s="503"/>
    </row>
    <row r="102" spans="1:13" s="88" customFormat="1" ht="24.75" customHeight="1">
      <c r="A102" s="496" t="s">
        <v>1217</v>
      </c>
      <c r="B102" s="496"/>
      <c r="C102" s="493" t="s">
        <v>4024</v>
      </c>
      <c r="D102" s="493"/>
      <c r="E102" s="493"/>
      <c r="F102" s="493"/>
      <c r="G102" s="493"/>
      <c r="H102" s="493"/>
      <c r="I102" s="493"/>
      <c r="J102" s="493"/>
      <c r="K102" s="493"/>
      <c r="L102" s="493"/>
      <c r="M102" s="493"/>
    </row>
    <row r="103" spans="1:13" s="88" customFormat="1" ht="16.5" customHeight="1">
      <c r="A103" s="496" t="s">
        <v>5786</v>
      </c>
      <c r="B103" s="496"/>
      <c r="C103" s="497" t="s">
        <v>486</v>
      </c>
      <c r="D103" s="497"/>
      <c r="E103" s="497"/>
      <c r="F103" s="497"/>
      <c r="G103" s="497"/>
      <c r="H103" s="497"/>
      <c r="I103" s="497"/>
      <c r="J103" s="497"/>
      <c r="K103" s="497"/>
      <c r="L103" s="497"/>
      <c r="M103" s="497"/>
    </row>
    <row r="104" spans="1:13" s="88" customFormat="1" ht="16.5" customHeight="1">
      <c r="A104" s="496" t="s">
        <v>1220</v>
      </c>
      <c r="B104" s="496"/>
      <c r="C104" s="493" t="s">
        <v>4025</v>
      </c>
      <c r="D104" s="493"/>
      <c r="E104" s="493"/>
      <c r="F104" s="493"/>
      <c r="G104" s="493"/>
      <c r="H104" s="493"/>
      <c r="I104" s="493"/>
      <c r="J104" s="493"/>
      <c r="K104" s="493"/>
      <c r="L104" s="493"/>
      <c r="M104" s="493"/>
    </row>
    <row r="105" spans="1:13" s="88" customFormat="1" ht="16.5" customHeight="1">
      <c r="A105" s="496" t="s">
        <v>5785</v>
      </c>
      <c r="B105" s="496"/>
      <c r="C105" s="493" t="s">
        <v>4026</v>
      </c>
      <c r="D105" s="493"/>
      <c r="E105" s="493"/>
      <c r="F105" s="493"/>
      <c r="G105" s="493"/>
      <c r="H105" s="493"/>
      <c r="I105" s="493"/>
      <c r="J105" s="493"/>
      <c r="K105" s="493"/>
      <c r="L105" s="493"/>
      <c r="M105" s="493"/>
    </row>
    <row r="106" spans="1:13" s="88" customFormat="1" ht="16.5" customHeight="1">
      <c r="A106" s="89" t="s">
        <v>1223</v>
      </c>
      <c r="B106" s="92" t="s">
        <v>2590</v>
      </c>
      <c r="C106" s="493" t="s">
        <v>4027</v>
      </c>
      <c r="D106" s="493"/>
      <c r="E106" s="493"/>
      <c r="F106" s="493"/>
      <c r="G106" s="493"/>
      <c r="H106" s="493"/>
      <c r="I106" s="493"/>
      <c r="J106" s="493"/>
      <c r="K106" s="493"/>
      <c r="L106" s="493"/>
      <c r="M106" s="493"/>
    </row>
    <row r="107" spans="1:13" s="88" customFormat="1" ht="16.5" customHeight="1">
      <c r="A107" s="89"/>
      <c r="B107" s="92" t="s">
        <v>4018</v>
      </c>
      <c r="C107" s="493" t="s">
        <v>4028</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11.75" customHeight="1">
      <c r="A110" s="89" t="s">
        <v>1229</v>
      </c>
      <c r="B110" s="493" t="s">
        <v>4029</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row>
    <row r="114" spans="1:7" ht="16.5" customHeight="1"/>
    <row r="115" spans="1:7" ht="16.5" customHeight="1">
      <c r="E115" s="189"/>
    </row>
    <row r="116" spans="1:7" ht="16.5" customHeight="1">
      <c r="B116" s="95" t="s">
        <v>3963</v>
      </c>
      <c r="C116" s="97" t="s">
        <v>4021</v>
      </c>
      <c r="D116" s="93"/>
      <c r="E116" s="94" t="s">
        <v>4022</v>
      </c>
      <c r="F116" s="104" t="s">
        <v>1238</v>
      </c>
      <c r="G116" s="93"/>
    </row>
    <row r="117" spans="1:7" ht="16.5" customHeight="1">
      <c r="B117" s="99">
        <v>12.1</v>
      </c>
      <c r="C117" s="101">
        <v>421</v>
      </c>
      <c r="D117" s="93"/>
      <c r="E117" s="93">
        <f>PEARSON(B117:B122,C117:C122)</f>
        <v>0.98567022860976528</v>
      </c>
      <c r="F117" s="108" t="s">
        <v>4030</v>
      </c>
      <c r="G117" s="93"/>
    </row>
    <row r="118" spans="1:7" ht="16.5" customHeight="1">
      <c r="B118" s="99">
        <v>15.3</v>
      </c>
      <c r="C118" s="101">
        <v>1356</v>
      </c>
      <c r="D118" s="93"/>
      <c r="E118" s="93"/>
      <c r="F118" s="93"/>
      <c r="G118" s="93"/>
    </row>
    <row r="119" spans="1:7" ht="16.5" customHeight="1">
      <c r="B119" s="99">
        <v>18.600000000000001</v>
      </c>
      <c r="C119" s="101">
        <v>2864</v>
      </c>
      <c r="D119" s="93"/>
      <c r="E119" s="93"/>
      <c r="F119" s="93"/>
      <c r="G119" s="93"/>
    </row>
    <row r="120" spans="1:7" ht="16.5" customHeight="1">
      <c r="B120" s="99">
        <v>21.7</v>
      </c>
      <c r="C120" s="101">
        <v>4659</v>
      </c>
      <c r="D120" s="93"/>
      <c r="E120" s="93"/>
      <c r="F120" s="93"/>
      <c r="G120" s="93"/>
    </row>
    <row r="121" spans="1:7" ht="16.5" customHeight="1">
      <c r="B121" s="99">
        <v>26.1</v>
      </c>
      <c r="C121" s="101">
        <v>8558</v>
      </c>
      <c r="D121" s="93"/>
      <c r="E121" s="93"/>
      <c r="F121" s="93"/>
      <c r="G121" s="93"/>
    </row>
    <row r="122" spans="1:7" ht="16.5" customHeight="1">
      <c r="B122" s="105">
        <v>32.1</v>
      </c>
      <c r="C122" s="107">
        <v>10239</v>
      </c>
      <c r="D122" s="93"/>
      <c r="E122" s="93"/>
      <c r="F122" s="93"/>
      <c r="G122" s="93"/>
    </row>
    <row r="123" spans="1:7" ht="16.5" customHeight="1">
      <c r="B123" s="93"/>
      <c r="C123" s="93"/>
      <c r="D123" s="93"/>
      <c r="E123" s="93"/>
      <c r="F123" s="93"/>
      <c r="G123" s="93"/>
    </row>
    <row r="200" spans="1:13" s="88" customFormat="1" ht="26.25" customHeight="1">
      <c r="A200" s="498" t="s">
        <v>803</v>
      </c>
      <c r="B200" s="498"/>
      <c r="C200" s="499"/>
      <c r="D200" s="87"/>
      <c r="E200" s="500" t="str">
        <f>HYPERLINK("#目录!A289","跳转回到目录页")</f>
        <v>跳转回到目录页</v>
      </c>
      <c r="F200" s="501"/>
    </row>
    <row r="201" spans="1:13" s="88" customFormat="1" ht="26.25" customHeight="1">
      <c r="A201" s="502" t="s">
        <v>1216</v>
      </c>
      <c r="B201" s="502"/>
      <c r="C201" s="503" t="s">
        <v>487</v>
      </c>
      <c r="D201" s="503"/>
      <c r="E201" s="503"/>
      <c r="F201" s="503"/>
      <c r="G201" s="503"/>
      <c r="H201" s="503"/>
      <c r="I201" s="503"/>
      <c r="J201" s="503"/>
      <c r="K201" s="503"/>
      <c r="L201" s="503"/>
      <c r="M201" s="503"/>
    </row>
    <row r="202" spans="1:13" s="88" customFormat="1" ht="16.5" customHeight="1">
      <c r="A202" s="496" t="s">
        <v>1217</v>
      </c>
      <c r="B202" s="496"/>
      <c r="C202" s="493" t="s">
        <v>4031</v>
      </c>
      <c r="D202" s="493"/>
      <c r="E202" s="493"/>
      <c r="F202" s="493"/>
      <c r="G202" s="493"/>
      <c r="H202" s="493"/>
      <c r="I202" s="493"/>
      <c r="J202" s="493"/>
      <c r="K202" s="493"/>
      <c r="L202" s="493"/>
      <c r="M202" s="493"/>
    </row>
    <row r="203" spans="1:13" s="88" customFormat="1" ht="16.5" customHeight="1">
      <c r="A203" s="496" t="s">
        <v>5786</v>
      </c>
      <c r="B203" s="496"/>
      <c r="C203" s="497" t="s">
        <v>487</v>
      </c>
      <c r="D203" s="497"/>
      <c r="E203" s="497"/>
      <c r="F203" s="497"/>
      <c r="G203" s="497"/>
      <c r="H203" s="497"/>
      <c r="I203" s="497"/>
      <c r="J203" s="497"/>
      <c r="K203" s="497"/>
      <c r="L203" s="497"/>
      <c r="M203" s="497"/>
    </row>
    <row r="204" spans="1:13" s="88" customFormat="1" ht="16.5" customHeight="1">
      <c r="A204" s="496" t="s">
        <v>1220</v>
      </c>
      <c r="B204" s="496"/>
      <c r="C204" s="493" t="s">
        <v>4032</v>
      </c>
      <c r="D204" s="493"/>
      <c r="E204" s="493"/>
      <c r="F204" s="493"/>
      <c r="G204" s="493"/>
      <c r="H204" s="493"/>
      <c r="I204" s="493"/>
      <c r="J204" s="493"/>
      <c r="K204" s="493"/>
      <c r="L204" s="493"/>
      <c r="M204" s="493"/>
    </row>
    <row r="205" spans="1:13" s="88" customFormat="1" ht="16.5" customHeight="1">
      <c r="A205" s="496" t="s">
        <v>5785</v>
      </c>
      <c r="B205" s="496"/>
      <c r="C205" s="493" t="s">
        <v>4033</v>
      </c>
      <c r="D205" s="493"/>
      <c r="E205" s="493"/>
      <c r="F205" s="493"/>
      <c r="G205" s="493"/>
      <c r="H205" s="493"/>
      <c r="I205" s="493"/>
      <c r="J205" s="493"/>
      <c r="K205" s="493"/>
      <c r="L205" s="493"/>
      <c r="M205" s="493"/>
    </row>
    <row r="206" spans="1:13" s="88" customFormat="1" ht="16.5" customHeight="1">
      <c r="A206" s="89" t="s">
        <v>1223</v>
      </c>
      <c r="B206" s="92" t="s">
        <v>2590</v>
      </c>
      <c r="C206" s="493" t="s">
        <v>4034</v>
      </c>
      <c r="D206" s="493"/>
      <c r="E206" s="493"/>
      <c r="F206" s="493"/>
      <c r="G206" s="493"/>
      <c r="H206" s="493"/>
      <c r="I206" s="493"/>
      <c r="J206" s="493"/>
      <c r="K206" s="493"/>
      <c r="L206" s="493"/>
      <c r="M206" s="493"/>
    </row>
    <row r="207" spans="1:13" s="88" customFormat="1" ht="16.5" customHeight="1">
      <c r="A207" s="89"/>
      <c r="B207" s="92" t="s">
        <v>4018</v>
      </c>
      <c r="C207" s="493" t="s">
        <v>4035</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09.5" customHeight="1">
      <c r="A210" s="89" t="s">
        <v>1229</v>
      </c>
      <c r="B210" s="493" t="s">
        <v>4036</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c r="G215" s="189"/>
    </row>
    <row r="216" spans="1:13" ht="16.5" customHeight="1">
      <c r="B216" s="95" t="s">
        <v>3963</v>
      </c>
      <c r="C216" s="97" t="s">
        <v>4021</v>
      </c>
      <c r="D216" s="93"/>
      <c r="E216" s="94" t="s">
        <v>4022</v>
      </c>
      <c r="F216" s="104" t="s">
        <v>1238</v>
      </c>
      <c r="G216" s="189"/>
    </row>
    <row r="217" spans="1:13" ht="16.5" customHeight="1">
      <c r="B217" s="99">
        <v>12.1</v>
      </c>
      <c r="C217" s="101">
        <v>421</v>
      </c>
      <c r="D217" s="93"/>
      <c r="E217" s="93">
        <f>COVAR(B217:B222,C217:C222)</f>
        <v>23779.763888888891</v>
      </c>
      <c r="F217" s="108" t="s">
        <v>4037</v>
      </c>
      <c r="G217" s="189"/>
    </row>
    <row r="218" spans="1:13" ht="16.5" customHeight="1">
      <c r="B218" s="99">
        <v>15.3</v>
      </c>
      <c r="C218" s="101">
        <v>1356</v>
      </c>
      <c r="D218" s="93"/>
      <c r="E218" s="93"/>
      <c r="F218" s="93"/>
      <c r="G218" s="189"/>
    </row>
    <row r="219" spans="1:13" ht="16.5" customHeight="1">
      <c r="B219" s="99">
        <v>18.600000000000001</v>
      </c>
      <c r="C219" s="101">
        <v>2864</v>
      </c>
      <c r="D219" s="93"/>
      <c r="E219" s="93"/>
      <c r="F219" s="93"/>
    </row>
    <row r="220" spans="1:13" ht="16.5" customHeight="1">
      <c r="B220" s="99">
        <v>21.7</v>
      </c>
      <c r="C220" s="101">
        <v>4659</v>
      </c>
      <c r="D220" s="93"/>
      <c r="E220" s="93"/>
      <c r="F220" s="93"/>
      <c r="G220" s="189"/>
    </row>
    <row r="221" spans="1:13" ht="16.5" customHeight="1">
      <c r="B221" s="99">
        <v>26.1</v>
      </c>
      <c r="C221" s="101">
        <v>8558</v>
      </c>
      <c r="D221" s="93"/>
      <c r="E221" s="93"/>
      <c r="F221" s="93"/>
    </row>
    <row r="222" spans="1:13" ht="16.5" customHeight="1">
      <c r="B222" s="105">
        <v>32.1</v>
      </c>
      <c r="C222" s="107">
        <v>10239</v>
      </c>
      <c r="D222" s="93"/>
      <c r="E222" s="93"/>
      <c r="F222" s="93"/>
      <c r="G222" s="18"/>
    </row>
    <row r="223" spans="1:13" ht="16.5" customHeight="1">
      <c r="B223" s="93"/>
      <c r="C223" s="93"/>
      <c r="D223" s="93"/>
      <c r="E223" s="93"/>
      <c r="F223" s="93"/>
    </row>
    <row r="224" spans="1:13" ht="16.5" customHeight="1"/>
  </sheetData>
  <mergeCells count="54">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headerFooter scaleWithDoc="0"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9"/>
  <dimension ref="A1:AV136"/>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781</v>
      </c>
      <c r="B1" s="498"/>
      <c r="C1" s="499"/>
      <c r="D1" s="87"/>
      <c r="E1" s="500" t="str">
        <f>HYPERLINK("#目录!A291","跳转回到目录页")</f>
        <v>跳转回到目录页</v>
      </c>
      <c r="F1" s="501"/>
    </row>
    <row r="2" spans="1:48" s="88" customFormat="1" ht="26.25" customHeight="1">
      <c r="A2" s="502" t="s">
        <v>1216</v>
      </c>
      <c r="B2" s="502"/>
      <c r="C2" s="503" t="s">
        <v>488</v>
      </c>
      <c r="D2" s="503"/>
      <c r="E2" s="503"/>
      <c r="F2" s="503"/>
      <c r="G2" s="503"/>
      <c r="H2" s="503"/>
      <c r="I2" s="503"/>
      <c r="J2" s="503"/>
      <c r="K2" s="503"/>
      <c r="L2" s="503"/>
      <c r="M2" s="503"/>
    </row>
    <row r="3" spans="1:48" s="88" customFormat="1" ht="16.5" customHeight="1">
      <c r="A3" s="496" t="s">
        <v>1217</v>
      </c>
      <c r="B3" s="496"/>
      <c r="C3" s="493" t="s">
        <v>4038</v>
      </c>
      <c r="D3" s="493"/>
      <c r="E3" s="493"/>
      <c r="F3" s="493"/>
      <c r="G3" s="493"/>
      <c r="H3" s="493"/>
      <c r="I3" s="493"/>
      <c r="J3" s="493"/>
      <c r="K3" s="493"/>
      <c r="L3" s="493"/>
      <c r="M3" s="493"/>
    </row>
    <row r="4" spans="1:48" s="88" customFormat="1" ht="16.5" customHeight="1">
      <c r="A4" s="496" t="s">
        <v>5786</v>
      </c>
      <c r="B4" s="496"/>
      <c r="C4" s="497" t="s">
        <v>488</v>
      </c>
      <c r="D4" s="497"/>
      <c r="E4" s="497"/>
      <c r="F4" s="497"/>
      <c r="G4" s="497"/>
      <c r="H4" s="497"/>
      <c r="I4" s="497"/>
      <c r="J4" s="497"/>
      <c r="K4" s="497"/>
      <c r="L4" s="497"/>
      <c r="M4" s="497"/>
    </row>
    <row r="5" spans="1:48" s="88" customFormat="1" ht="16.5" customHeight="1">
      <c r="A5" s="496" t="s">
        <v>1220</v>
      </c>
      <c r="B5" s="496"/>
      <c r="C5" s="493" t="s">
        <v>4039</v>
      </c>
      <c r="D5" s="493"/>
      <c r="E5" s="493"/>
      <c r="F5" s="493"/>
      <c r="G5" s="493"/>
      <c r="H5" s="493"/>
      <c r="I5" s="493"/>
      <c r="J5" s="493"/>
      <c r="K5" s="493"/>
      <c r="L5" s="493"/>
      <c r="M5" s="493"/>
    </row>
    <row r="6" spans="1:48" s="88" customFormat="1" ht="16.5" customHeight="1">
      <c r="A6" s="496" t="s">
        <v>5785</v>
      </c>
      <c r="B6" s="496"/>
      <c r="C6" s="493" t="s">
        <v>4040</v>
      </c>
      <c r="D6" s="493"/>
      <c r="E6" s="493"/>
      <c r="F6" s="493"/>
      <c r="G6" s="493"/>
      <c r="H6" s="493"/>
      <c r="I6" s="493"/>
      <c r="J6" s="493"/>
      <c r="K6" s="493"/>
      <c r="L6" s="493"/>
      <c r="M6" s="493"/>
    </row>
    <row r="7" spans="1:48" s="88" customFormat="1" ht="16.5" customHeight="1">
      <c r="A7" s="89" t="s">
        <v>1223</v>
      </c>
      <c r="B7" s="92" t="s">
        <v>4041</v>
      </c>
      <c r="C7" s="493" t="s">
        <v>4042</v>
      </c>
      <c r="D7" s="493"/>
      <c r="E7" s="493"/>
      <c r="F7" s="493"/>
      <c r="G7" s="493"/>
      <c r="H7" s="493"/>
      <c r="I7" s="493"/>
      <c r="J7" s="493"/>
      <c r="K7" s="493"/>
      <c r="L7" s="493"/>
      <c r="M7" s="493"/>
    </row>
    <row r="8" spans="1:48" s="88" customFormat="1" ht="24.75" customHeight="1">
      <c r="A8" s="89"/>
      <c r="B8" s="92" t="s">
        <v>3902</v>
      </c>
      <c r="C8" s="493" t="s">
        <v>4043</v>
      </c>
      <c r="D8" s="493"/>
      <c r="E8" s="493"/>
      <c r="F8" s="493"/>
      <c r="G8" s="493"/>
      <c r="H8" s="493"/>
      <c r="I8" s="493"/>
      <c r="J8" s="493"/>
      <c r="K8" s="493"/>
      <c r="L8" s="493"/>
      <c r="M8" s="493"/>
    </row>
    <row r="9" spans="1:48" s="88" customFormat="1" ht="16.5" customHeight="1">
      <c r="A9" s="89"/>
      <c r="B9" s="90" t="s">
        <v>4044</v>
      </c>
      <c r="C9" s="493" t="s">
        <v>4045</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84.75" customHeight="1">
      <c r="A11" s="89" t="s">
        <v>1229</v>
      </c>
      <c r="B11" s="673" t="s">
        <v>4046</v>
      </c>
      <c r="C11" s="673"/>
      <c r="D11" s="673"/>
      <c r="E11" s="673"/>
      <c r="F11" s="673"/>
      <c r="G11" s="673"/>
      <c r="H11" s="673"/>
      <c r="I11" s="673"/>
      <c r="J11" s="673"/>
      <c r="K11" s="673"/>
      <c r="L11" s="673"/>
      <c r="M11" s="673"/>
    </row>
    <row r="12" spans="1:48" ht="21" customHeight="1">
      <c r="B12" s="494" t="s">
        <v>1231</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E15" s="4" t="s">
        <v>4047</v>
      </c>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t="s">
        <v>4048</v>
      </c>
      <c r="E17" s="93" t="s">
        <v>4047</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3863</v>
      </c>
      <c r="C18" s="97" t="s">
        <v>4049</v>
      </c>
      <c r="E18" s="94" t="s">
        <v>4050</v>
      </c>
      <c r="F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9">
        <v>12.566000000000001</v>
      </c>
      <c r="C19" s="101">
        <v>12</v>
      </c>
      <c r="E19" s="93">
        <f>CONFIDENCE(0.05,B19,C19)</f>
        <v>7.1097531672005863</v>
      </c>
      <c r="F19" s="108" t="s">
        <v>4051</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3907</v>
      </c>
      <c r="C20" s="112" t="s">
        <v>4052</v>
      </c>
      <c r="E20" s="16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05">
        <v>71.92</v>
      </c>
      <c r="C21" s="107" t="s">
        <v>4053</v>
      </c>
      <c r="E21" s="16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E22" s="16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E23" s="189"/>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E24" s="189"/>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E25" s="189"/>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E26" s="189"/>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E35" s="189"/>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E36" s="189"/>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1086</v>
      </c>
      <c r="B100" s="498"/>
      <c r="C100" s="499"/>
      <c r="D100" s="87"/>
      <c r="E100" s="500" t="str">
        <f>HYPERLINK("#目录!A293","跳转回到目录页")</f>
        <v>跳转回到目录页</v>
      </c>
      <c r="F100" s="501"/>
    </row>
    <row r="101" spans="1:13" s="88" customFormat="1" ht="26.25" customHeight="1">
      <c r="A101" s="502" t="s">
        <v>1216</v>
      </c>
      <c r="B101" s="502"/>
      <c r="C101" s="503" t="s">
        <v>490</v>
      </c>
      <c r="D101" s="503"/>
      <c r="E101" s="503"/>
      <c r="F101" s="503"/>
      <c r="G101" s="503"/>
      <c r="H101" s="503"/>
      <c r="I101" s="503"/>
      <c r="J101" s="503"/>
      <c r="K101" s="503"/>
      <c r="L101" s="503"/>
      <c r="M101" s="503"/>
    </row>
    <row r="102" spans="1:13" s="88" customFormat="1" ht="16.5" customHeight="1">
      <c r="A102" s="496" t="s">
        <v>1217</v>
      </c>
      <c r="B102" s="496"/>
      <c r="C102" s="493" t="s">
        <v>4054</v>
      </c>
      <c r="D102" s="493"/>
      <c r="E102" s="493"/>
      <c r="F102" s="493"/>
      <c r="G102" s="493"/>
      <c r="H102" s="493"/>
      <c r="I102" s="493"/>
      <c r="J102" s="493"/>
      <c r="K102" s="493"/>
      <c r="L102" s="493"/>
      <c r="M102" s="493"/>
    </row>
    <row r="103" spans="1:13" s="88" customFormat="1" ht="16.5" customHeight="1">
      <c r="A103" s="496" t="s">
        <v>5786</v>
      </c>
      <c r="B103" s="496"/>
      <c r="C103" s="497" t="s">
        <v>490</v>
      </c>
      <c r="D103" s="497"/>
      <c r="E103" s="497"/>
      <c r="F103" s="497"/>
      <c r="G103" s="497"/>
      <c r="H103" s="497"/>
      <c r="I103" s="497"/>
      <c r="J103" s="497"/>
      <c r="K103" s="497"/>
      <c r="L103" s="497"/>
      <c r="M103" s="497"/>
    </row>
    <row r="104" spans="1:13" s="88" customFormat="1" ht="16.5" customHeight="1">
      <c r="A104" s="496" t="s">
        <v>1220</v>
      </c>
      <c r="B104" s="496"/>
      <c r="C104" s="493" t="s">
        <v>4055</v>
      </c>
      <c r="D104" s="493"/>
      <c r="E104" s="493"/>
      <c r="F104" s="493"/>
      <c r="G104" s="493"/>
      <c r="H104" s="493"/>
      <c r="I104" s="493"/>
      <c r="J104" s="493"/>
      <c r="K104" s="493"/>
      <c r="L104" s="493"/>
      <c r="M104" s="493"/>
    </row>
    <row r="105" spans="1:13" s="88" customFormat="1" ht="16.5" customHeight="1">
      <c r="A105" s="496" t="s">
        <v>5785</v>
      </c>
      <c r="B105" s="496"/>
      <c r="C105" s="493" t="s">
        <v>4056</v>
      </c>
      <c r="D105" s="493"/>
      <c r="E105" s="493"/>
      <c r="F105" s="493"/>
      <c r="G105" s="493"/>
      <c r="H105" s="493"/>
      <c r="I105" s="493"/>
      <c r="J105" s="493"/>
      <c r="K105" s="493"/>
      <c r="L105" s="493"/>
      <c r="M105" s="493"/>
    </row>
    <row r="106" spans="1:13" s="88" customFormat="1" ht="16.5" customHeight="1">
      <c r="A106" s="89" t="s">
        <v>1223</v>
      </c>
      <c r="B106" s="92" t="s">
        <v>4057</v>
      </c>
      <c r="C106" s="493" t="s">
        <v>4058</v>
      </c>
      <c r="D106" s="493"/>
      <c r="E106" s="493"/>
      <c r="F106" s="493"/>
      <c r="G106" s="493"/>
      <c r="H106" s="493"/>
      <c r="I106" s="493"/>
      <c r="J106" s="493"/>
      <c r="K106" s="493"/>
      <c r="L106" s="493"/>
      <c r="M106" s="493"/>
    </row>
    <row r="107" spans="1:13" s="88" customFormat="1" ht="16.5" customHeight="1">
      <c r="A107" s="89"/>
      <c r="B107" s="92" t="s">
        <v>4059</v>
      </c>
      <c r="C107" s="493" t="s">
        <v>4060</v>
      </c>
      <c r="D107" s="493"/>
      <c r="E107" s="493"/>
      <c r="F107" s="493"/>
      <c r="G107" s="493"/>
      <c r="H107" s="493"/>
      <c r="I107" s="493"/>
      <c r="J107" s="493"/>
      <c r="K107" s="493"/>
      <c r="L107" s="493"/>
      <c r="M107" s="493"/>
    </row>
    <row r="108" spans="1:13" s="88" customFormat="1" ht="16.5" customHeight="1">
      <c r="A108" s="89"/>
      <c r="B108" s="90" t="s">
        <v>4061</v>
      </c>
      <c r="C108" s="493" t="s">
        <v>4062</v>
      </c>
      <c r="D108" s="493"/>
      <c r="E108" s="493"/>
      <c r="F108" s="493"/>
      <c r="G108" s="493"/>
      <c r="H108" s="493"/>
      <c r="I108" s="493"/>
      <c r="J108" s="493"/>
      <c r="K108" s="493"/>
      <c r="L108" s="493"/>
      <c r="M108" s="493"/>
    </row>
    <row r="109" spans="1:13" s="88" customFormat="1" ht="16.5" customHeight="1">
      <c r="A109" s="89"/>
      <c r="B109" s="90" t="s">
        <v>4063</v>
      </c>
      <c r="C109" s="509" t="s">
        <v>4064</v>
      </c>
      <c r="D109" s="509"/>
      <c r="E109" s="509"/>
      <c r="F109" s="509"/>
      <c r="G109" s="509"/>
      <c r="H109" s="509"/>
      <c r="I109" s="509"/>
      <c r="J109" s="509"/>
      <c r="K109" s="509"/>
      <c r="L109" s="509"/>
      <c r="M109" s="509"/>
    </row>
    <row r="110" spans="1:13" s="88" customFormat="1" ht="16.5" customHeight="1">
      <c r="A110" s="89" t="s">
        <v>1228</v>
      </c>
      <c r="B110" s="493"/>
      <c r="C110" s="493"/>
      <c r="D110" s="493"/>
      <c r="E110" s="493"/>
      <c r="F110" s="493"/>
      <c r="G110" s="493"/>
      <c r="H110" s="493"/>
      <c r="I110" s="493"/>
      <c r="J110" s="493"/>
      <c r="K110" s="493"/>
      <c r="L110" s="493"/>
      <c r="M110" s="493"/>
    </row>
    <row r="111" spans="1:13" ht="51" customHeight="1">
      <c r="A111" s="89" t="s">
        <v>1229</v>
      </c>
      <c r="B111" s="493" t="s">
        <v>4065</v>
      </c>
      <c r="C111" s="493"/>
      <c r="D111" s="493"/>
      <c r="E111" s="493"/>
      <c r="F111" s="493"/>
      <c r="G111" s="493"/>
      <c r="H111" s="493"/>
      <c r="I111" s="493"/>
      <c r="J111" s="493"/>
      <c r="K111" s="493"/>
      <c r="L111" s="493"/>
      <c r="M111" s="493"/>
    </row>
    <row r="112" spans="1:13" ht="21" customHeight="1">
      <c r="B112" s="494" t="s">
        <v>1231</v>
      </c>
      <c r="C112" s="494"/>
      <c r="D112" s="494"/>
      <c r="E112" s="494"/>
      <c r="F112" s="494"/>
      <c r="G112" s="494"/>
      <c r="H112" s="494"/>
      <c r="I112" s="494"/>
      <c r="J112" s="494"/>
      <c r="K112" s="494"/>
      <c r="L112" s="495"/>
    </row>
    <row r="113" spans="1:48" s="93" customFormat="1" ht="16.5" customHeight="1"/>
    <row r="114" spans="1:48" s="93" customFormat="1" ht="16.5" customHeight="1">
      <c r="A114" s="94" t="s">
        <v>1232</v>
      </c>
      <c r="B114" s="93" t="s">
        <v>1773</v>
      </c>
    </row>
    <row r="115" spans="1:48" s="93" customFormat="1" ht="16.5" customHeight="1">
      <c r="G115" s="4" t="s">
        <v>4047</v>
      </c>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pans="1:48" ht="16.5" customHeight="1">
      <c r="B116" s="93"/>
      <c r="C116" s="93"/>
      <c r="D116" s="93"/>
      <c r="E116" s="93"/>
      <c r="F116" s="93"/>
      <c r="G116" s="93"/>
      <c r="H116" s="93"/>
      <c r="I116" s="93"/>
      <c r="J116" s="93"/>
    </row>
    <row r="117" spans="1:48" ht="16.5" customHeight="1">
      <c r="B117" s="93" t="s">
        <v>4066</v>
      </c>
      <c r="C117" s="93"/>
      <c r="D117" s="93"/>
      <c r="E117" s="93"/>
      <c r="F117" s="93"/>
      <c r="G117" s="93"/>
      <c r="H117" s="93"/>
      <c r="I117" s="93"/>
      <c r="J117" s="93"/>
    </row>
    <row r="118" spans="1:48" ht="16.5" customHeight="1">
      <c r="B118" s="95" t="s">
        <v>4067</v>
      </c>
      <c r="C118" s="96" t="s">
        <v>4068</v>
      </c>
      <c r="D118" s="97" t="s">
        <v>4069</v>
      </c>
      <c r="E118" s="93"/>
      <c r="F118" s="116" t="s">
        <v>4070</v>
      </c>
      <c r="G118" s="104" t="s">
        <v>1238</v>
      </c>
      <c r="H118" s="93"/>
      <c r="I118" s="93"/>
      <c r="J118" s="93"/>
    </row>
    <row r="119" spans="1:48" ht="16.5" customHeight="1">
      <c r="B119" s="99">
        <v>1</v>
      </c>
      <c r="C119" s="110">
        <v>1</v>
      </c>
      <c r="D119" s="101">
        <v>1E-4</v>
      </c>
      <c r="E119" s="93"/>
      <c r="F119" s="93">
        <f>PROB(B119:B124,D119:D124,B119,B121)</f>
        <v>1.2999999999999999E-3</v>
      </c>
      <c r="G119" s="108" t="s">
        <v>4071</v>
      </c>
      <c r="H119" s="93"/>
      <c r="I119" s="93"/>
      <c r="J119" s="93"/>
    </row>
    <row r="120" spans="1:48" ht="16.5" customHeight="1">
      <c r="B120" s="99">
        <v>2</v>
      </c>
      <c r="C120" s="110">
        <v>4</v>
      </c>
      <c r="D120" s="101">
        <v>4.0000000000000002E-4</v>
      </c>
      <c r="E120" s="93"/>
      <c r="F120" s="93"/>
      <c r="G120" s="93"/>
      <c r="H120" s="93"/>
      <c r="I120" s="93"/>
      <c r="J120" s="93"/>
    </row>
    <row r="121" spans="1:48" ht="16.5" customHeight="1">
      <c r="B121" s="99">
        <v>3</v>
      </c>
      <c r="C121" s="110">
        <v>8</v>
      </c>
      <c r="D121" s="101">
        <v>8.0000000000000004E-4</v>
      </c>
      <c r="E121" s="93"/>
      <c r="F121" s="93"/>
      <c r="G121" s="93"/>
      <c r="H121" s="93"/>
      <c r="I121" s="93"/>
      <c r="J121" s="93"/>
    </row>
    <row r="122" spans="1:48" ht="16.5" customHeight="1">
      <c r="B122" s="99">
        <v>4</v>
      </c>
      <c r="C122" s="110">
        <v>200</v>
      </c>
      <c r="D122" s="101">
        <v>0.02</v>
      </c>
      <c r="E122" s="93"/>
      <c r="F122" s="93"/>
      <c r="G122" s="93"/>
      <c r="H122" s="93"/>
      <c r="I122" s="93"/>
      <c r="J122" s="93"/>
    </row>
    <row r="123" spans="1:48" ht="16.5" customHeight="1">
      <c r="B123" s="99">
        <v>5</v>
      </c>
      <c r="C123" s="110">
        <v>1500</v>
      </c>
      <c r="D123" s="101">
        <v>0.15</v>
      </c>
      <c r="E123" s="93"/>
      <c r="F123" s="93"/>
      <c r="G123" s="93"/>
      <c r="H123" s="93"/>
      <c r="I123" s="93"/>
      <c r="J123" s="93"/>
    </row>
    <row r="124" spans="1:48" ht="16.5" customHeight="1">
      <c r="B124" s="99">
        <v>6</v>
      </c>
      <c r="C124" s="110">
        <v>8287</v>
      </c>
      <c r="D124" s="101">
        <v>0.82869999999999999</v>
      </c>
      <c r="E124" s="93"/>
      <c r="F124" s="93"/>
      <c r="G124" s="93"/>
      <c r="H124" s="93"/>
      <c r="I124" s="93"/>
      <c r="J124" s="93"/>
    </row>
    <row r="125" spans="1:48" ht="16.5" customHeight="1">
      <c r="B125" s="151" t="s">
        <v>1521</v>
      </c>
      <c r="C125" s="113">
        <f>SUM(C119:C124)</f>
        <v>10000</v>
      </c>
      <c r="D125" s="107">
        <f>SUM(D119:D124)</f>
        <v>1</v>
      </c>
      <c r="E125" s="93"/>
      <c r="F125" s="93"/>
      <c r="G125" s="93"/>
      <c r="H125" s="93"/>
      <c r="I125" s="93"/>
      <c r="J125" s="93"/>
    </row>
    <row r="126" spans="1:48" ht="16.5" customHeight="1"/>
    <row r="127" spans="1:48" ht="16.5" customHeight="1"/>
    <row r="136" spans="7:7">
      <c r="G136" s="18"/>
    </row>
  </sheetData>
  <mergeCells count="37">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A103:B103"/>
    <mergeCell ref="C103:M103"/>
    <mergeCell ref="A104:B104"/>
    <mergeCell ref="C104:M104"/>
    <mergeCell ref="A105:B105"/>
    <mergeCell ref="C105:M105"/>
    <mergeCell ref="B112:L112"/>
    <mergeCell ref="C106:M106"/>
    <mergeCell ref="C107:M107"/>
    <mergeCell ref="C108:M108"/>
    <mergeCell ref="C109:M109"/>
    <mergeCell ref="B110:M110"/>
    <mergeCell ref="B111:M111"/>
  </mergeCells>
  <phoneticPr fontId="2" type="noConversion"/>
  <pageMargins left="0.75" right="0.75" top="1" bottom="1" header="0.5" footer="0.5"/>
  <pageSetup paperSize="9" orientation="portrait" horizontalDpi="1200" verticalDpi="1200"/>
  <headerFooter scaleWithDoc="0"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332"/>
  <sheetViews>
    <sheetView topLeftCell="A86"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75</v>
      </c>
      <c r="B1" s="498"/>
      <c r="C1" s="499"/>
      <c r="D1" s="87"/>
      <c r="E1" s="500" t="str">
        <f>HYPERLINK("#目录!A45","跳转回到目录页")</f>
        <v>跳转回到目录页</v>
      </c>
      <c r="F1" s="501"/>
    </row>
    <row r="2" spans="1:13" s="88" customFormat="1" ht="26.25" customHeight="1">
      <c r="A2" s="502" t="s">
        <v>1216</v>
      </c>
      <c r="B2" s="502"/>
      <c r="C2" s="503" t="s">
        <v>76</v>
      </c>
      <c r="D2" s="503"/>
      <c r="E2" s="503"/>
      <c r="F2" s="503"/>
      <c r="G2" s="503"/>
      <c r="H2" s="503"/>
      <c r="I2" s="503"/>
      <c r="J2" s="503"/>
      <c r="K2" s="503"/>
      <c r="L2" s="503"/>
      <c r="M2" s="503"/>
    </row>
    <row r="3" spans="1:13" s="88" customFormat="1" ht="16.5" customHeight="1">
      <c r="A3" s="496" t="s">
        <v>1217</v>
      </c>
      <c r="B3" s="496"/>
      <c r="C3" s="493" t="s">
        <v>1505</v>
      </c>
      <c r="D3" s="493"/>
      <c r="E3" s="493"/>
      <c r="F3" s="493"/>
      <c r="G3" s="493"/>
      <c r="H3" s="493"/>
      <c r="I3" s="493"/>
      <c r="J3" s="493"/>
      <c r="K3" s="493"/>
      <c r="L3" s="493"/>
      <c r="M3" s="493"/>
    </row>
    <row r="4" spans="1:13" s="88" customFormat="1" ht="16.5" customHeight="1">
      <c r="A4" s="496" t="s">
        <v>5786</v>
      </c>
      <c r="B4" s="496"/>
      <c r="C4" s="497" t="s">
        <v>76</v>
      </c>
      <c r="D4" s="497"/>
      <c r="E4" s="497"/>
      <c r="F4" s="497"/>
      <c r="G4" s="497"/>
      <c r="H4" s="497"/>
      <c r="I4" s="497"/>
      <c r="J4" s="497"/>
      <c r="K4" s="497"/>
      <c r="L4" s="497"/>
      <c r="M4" s="497"/>
    </row>
    <row r="5" spans="1:13" s="88" customFormat="1" ht="16.5" customHeight="1">
      <c r="A5" s="496" t="s">
        <v>1220</v>
      </c>
      <c r="B5" s="496"/>
      <c r="C5" s="493" t="s">
        <v>1506</v>
      </c>
      <c r="D5" s="493"/>
      <c r="E5" s="493"/>
      <c r="F5" s="493"/>
      <c r="G5" s="493"/>
      <c r="H5" s="493"/>
      <c r="I5" s="493"/>
      <c r="J5" s="493"/>
      <c r="K5" s="493"/>
      <c r="L5" s="493"/>
      <c r="M5" s="493"/>
    </row>
    <row r="6" spans="1:13" s="88" customFormat="1" ht="16.5" customHeight="1">
      <c r="A6" s="496" t="s">
        <v>5785</v>
      </c>
      <c r="B6" s="496"/>
      <c r="C6" s="493" t="s">
        <v>1507</v>
      </c>
      <c r="D6" s="493"/>
      <c r="E6" s="493"/>
      <c r="F6" s="493"/>
      <c r="G6" s="493"/>
      <c r="H6" s="493"/>
      <c r="I6" s="493"/>
      <c r="J6" s="493"/>
      <c r="K6" s="493"/>
      <c r="L6" s="493"/>
      <c r="M6" s="493"/>
    </row>
    <row r="7" spans="1:13" s="88" customFormat="1" ht="24.75" customHeight="1">
      <c r="A7" s="89" t="s">
        <v>1223</v>
      </c>
      <c r="B7" s="92" t="s">
        <v>1508</v>
      </c>
      <c r="C7" s="493" t="s">
        <v>1509</v>
      </c>
      <c r="D7" s="493"/>
      <c r="E7" s="493"/>
      <c r="F7" s="493"/>
      <c r="G7" s="493"/>
      <c r="H7" s="493"/>
      <c r="I7" s="493"/>
      <c r="J7" s="493"/>
      <c r="K7" s="493"/>
      <c r="L7" s="493"/>
      <c r="M7" s="493"/>
    </row>
    <row r="8" spans="1:13" s="88" customFormat="1" ht="16.5" customHeight="1">
      <c r="A8" s="89" t="s">
        <v>1228</v>
      </c>
      <c r="B8" s="493"/>
      <c r="C8" s="493"/>
      <c r="D8" s="493"/>
      <c r="E8" s="493"/>
      <c r="F8" s="493"/>
      <c r="G8" s="493"/>
      <c r="H8" s="493"/>
      <c r="I8" s="493"/>
      <c r="J8" s="493"/>
      <c r="K8" s="493"/>
      <c r="L8" s="493"/>
      <c r="M8" s="493"/>
    </row>
    <row r="9" spans="1:13" ht="16.5" customHeight="1">
      <c r="A9" s="89" t="s">
        <v>1229</v>
      </c>
      <c r="B9" s="493" t="s">
        <v>1510</v>
      </c>
      <c r="C9" s="493"/>
      <c r="D9" s="493"/>
      <c r="E9" s="493"/>
      <c r="F9" s="493"/>
      <c r="G9" s="493"/>
      <c r="H9" s="493"/>
      <c r="I9" s="493"/>
      <c r="J9" s="493"/>
      <c r="K9" s="493"/>
      <c r="L9" s="493"/>
      <c r="M9" s="493"/>
    </row>
    <row r="10" spans="1:13" ht="21" customHeight="1">
      <c r="B10" s="494" t="s">
        <v>1231</v>
      </c>
      <c r="C10" s="494"/>
      <c r="D10" s="494"/>
      <c r="E10" s="494"/>
      <c r="F10" s="494"/>
      <c r="G10" s="494"/>
      <c r="H10" s="494"/>
      <c r="I10" s="494"/>
      <c r="J10" s="494"/>
      <c r="K10" s="494"/>
      <c r="L10" s="495"/>
    </row>
    <row r="11" spans="1:13" s="93" customFormat="1" ht="16.5" customHeight="1"/>
    <row r="12" spans="1:13" s="93" customFormat="1" ht="16.5" customHeight="1">
      <c r="A12" s="94" t="s">
        <v>1232</v>
      </c>
      <c r="B12" s="93" t="s">
        <v>1511</v>
      </c>
    </row>
    <row r="13" spans="1:13" s="93" customFormat="1" ht="16.5" customHeight="1">
      <c r="A13" s="94"/>
    </row>
    <row r="14" spans="1:13" s="93" customFormat="1" ht="16.5" customHeight="1">
      <c r="B14" s="534" t="s">
        <v>1371</v>
      </c>
      <c r="C14" s="535"/>
      <c r="D14" s="138" t="s">
        <v>1456</v>
      </c>
      <c r="E14" s="104" t="s">
        <v>1238</v>
      </c>
    </row>
    <row r="15" spans="1:13" s="93" customFormat="1" ht="16.5" customHeight="1">
      <c r="B15" s="536">
        <v>40574</v>
      </c>
      <c r="C15" s="537"/>
      <c r="D15" s="112">
        <f>YEAR(B15)</f>
        <v>2011</v>
      </c>
      <c r="E15" s="108" t="s">
        <v>1512</v>
      </c>
      <c r="F15" s="94"/>
    </row>
    <row r="16" spans="1:13" s="93" customFormat="1" ht="16.5" customHeight="1">
      <c r="B16" s="483">
        <v>40720</v>
      </c>
      <c r="C16" s="488"/>
      <c r="D16" s="112">
        <f>YEAR(B16)</f>
        <v>2011</v>
      </c>
      <c r="E16" s="148"/>
    </row>
    <row r="17" spans="1:6" s="93" customFormat="1" ht="16.5" customHeight="1">
      <c r="B17" s="538">
        <v>40576</v>
      </c>
      <c r="C17" s="539"/>
      <c r="D17" s="112">
        <f>YEAR(B17)</f>
        <v>2011</v>
      </c>
      <c r="E17" s="323"/>
      <c r="F17" s="288"/>
    </row>
    <row r="18" spans="1:6" s="93" customFormat="1" ht="16.5" customHeight="1">
      <c r="B18" s="540" t="s">
        <v>1513</v>
      </c>
      <c r="C18" s="489"/>
      <c r="D18" s="150">
        <f>YEAR(B18)</f>
        <v>2011</v>
      </c>
    </row>
    <row r="19" spans="1:6" s="93" customFormat="1" ht="16.5" customHeight="1"/>
    <row r="20" spans="1:6" s="93" customFormat="1" ht="14.25" customHeight="1"/>
    <row r="21" spans="1:6" s="93" customFormat="1" ht="14.25" customHeight="1">
      <c r="A21" s="94"/>
    </row>
    <row r="22" spans="1:6" s="93" customFormat="1" ht="14.25" customHeight="1"/>
    <row r="23" spans="1:6" s="93" customFormat="1" ht="14.25" customHeight="1">
      <c r="B23" s="94"/>
      <c r="C23" s="311"/>
      <c r="D23" s="311"/>
      <c r="E23" s="311"/>
      <c r="F23" s="94"/>
    </row>
    <row r="24" spans="1:6" s="93" customFormat="1" ht="14.25" customHeight="1">
      <c r="C24" s="148"/>
      <c r="E24" s="148"/>
    </row>
    <row r="25" spans="1:6" s="93" customFormat="1" ht="14.25" customHeight="1">
      <c r="C25" s="148"/>
      <c r="E25" s="148"/>
    </row>
    <row r="26" spans="1:6" s="93" customFormat="1" ht="14.25" customHeight="1">
      <c r="C26" s="148"/>
      <c r="E26" s="148"/>
    </row>
    <row r="27" spans="1:6" s="93" customFormat="1" ht="14.25" customHeight="1">
      <c r="C27" s="148"/>
      <c r="E27" s="148"/>
    </row>
    <row r="28" spans="1:6" s="93" customFormat="1" ht="14.25" customHeight="1">
      <c r="C28" s="148"/>
      <c r="E28" s="148"/>
    </row>
    <row r="29" spans="1:6" s="93" customFormat="1" ht="14.25" customHeight="1">
      <c r="C29" s="148"/>
      <c r="E29" s="148"/>
    </row>
    <row r="30" spans="1:6" s="93" customFormat="1" ht="14.25" customHeight="1">
      <c r="C30" s="148"/>
      <c r="E30" s="148"/>
    </row>
    <row r="31" spans="1:6" s="93" customFormat="1" ht="14.25" customHeight="1">
      <c r="C31" s="148"/>
      <c r="E31" s="148"/>
    </row>
    <row r="32" spans="1:6" s="93" customFormat="1" ht="14.25" customHeight="1">
      <c r="C32" s="148"/>
      <c r="E32" s="148"/>
    </row>
    <row r="33" spans="3:5" s="93" customFormat="1" ht="14.25" customHeight="1">
      <c r="C33" s="148"/>
      <c r="E33" s="148"/>
    </row>
    <row r="34" spans="3:5" s="93" customFormat="1" ht="14.25" customHeight="1">
      <c r="C34" s="148"/>
      <c r="E34" s="148"/>
    </row>
    <row r="35" spans="3:5" s="93" customFormat="1" ht="14.25" customHeight="1">
      <c r="C35" s="148"/>
      <c r="E35" s="148"/>
    </row>
    <row r="36" spans="3:5" s="93" customFormat="1" ht="14.25" customHeight="1">
      <c r="C36" s="148"/>
      <c r="E36" s="148"/>
    </row>
    <row r="37" spans="3:5" s="93" customFormat="1" ht="14.25" customHeight="1">
      <c r="C37" s="148"/>
      <c r="E37" s="148"/>
    </row>
    <row r="38" spans="3:5" s="93" customFormat="1" ht="14.25" customHeight="1">
      <c r="C38" s="148"/>
      <c r="E38" s="148"/>
    </row>
    <row r="39" spans="3:5" s="93" customFormat="1" ht="14.25" customHeight="1">
      <c r="C39" s="148"/>
      <c r="E39" s="148"/>
    </row>
    <row r="40" spans="3:5" s="93" customFormat="1" ht="14.25" customHeight="1">
      <c r="C40" s="148"/>
      <c r="E40" s="148"/>
    </row>
    <row r="41" spans="3:5" s="93" customFormat="1" ht="14.25" customHeight="1">
      <c r="C41" s="148"/>
      <c r="E41" s="148"/>
    </row>
    <row r="42" spans="3:5" s="93" customFormat="1" ht="14.25" customHeight="1">
      <c r="C42" s="148"/>
      <c r="E42" s="148"/>
    </row>
    <row r="43" spans="3:5" s="93" customFormat="1" ht="14.25" customHeight="1">
      <c r="C43" s="148"/>
      <c r="E43" s="148"/>
    </row>
    <row r="44" spans="3:5" s="93" customFormat="1" ht="14.25" customHeight="1">
      <c r="C44" s="148"/>
      <c r="E44" s="148"/>
    </row>
    <row r="45" spans="3:5" s="93" customFormat="1" ht="14.25" customHeight="1">
      <c r="C45" s="148"/>
      <c r="E45" s="148"/>
    </row>
    <row r="46" spans="3:5" s="93" customFormat="1" ht="14.25" customHeight="1">
      <c r="C46" s="148"/>
      <c r="E46" s="148"/>
    </row>
    <row r="47" spans="3:5" s="93" customFormat="1" ht="14.25" customHeight="1">
      <c r="C47" s="148"/>
      <c r="E47" s="148"/>
    </row>
    <row r="48" spans="3:5" s="93" customFormat="1" ht="14.25" customHeight="1">
      <c r="C48" s="148"/>
      <c r="E48" s="148"/>
    </row>
    <row r="49" spans="3:5" s="93" customFormat="1" ht="14.25" customHeight="1">
      <c r="C49" s="148"/>
      <c r="E49" s="148"/>
    </row>
    <row r="50" spans="3:5" s="93" customFormat="1" ht="14.25" customHeight="1">
      <c r="C50" s="148"/>
      <c r="E50" s="148"/>
    </row>
    <row r="51" spans="3:5" s="93" customFormat="1" ht="14.25" customHeight="1">
      <c r="C51" s="148"/>
      <c r="E51" s="148"/>
    </row>
    <row r="52" spans="3:5" s="93" customFormat="1" ht="14.25" customHeight="1">
      <c r="C52" s="148"/>
      <c r="E52" s="148"/>
    </row>
    <row r="53" spans="3:5" s="93" customFormat="1" ht="14.25" customHeight="1">
      <c r="C53" s="148"/>
      <c r="E53" s="148"/>
    </row>
    <row r="54" spans="3:5" s="93" customFormat="1" ht="14.25" customHeight="1">
      <c r="C54" s="148"/>
      <c r="E54" s="148"/>
    </row>
    <row r="55" spans="3:5" s="93" customFormat="1" ht="14.25" customHeight="1">
      <c r="C55" s="148"/>
      <c r="E55" s="148"/>
    </row>
    <row r="56" spans="3:5" s="93" customFormat="1" ht="14.25" customHeight="1">
      <c r="C56" s="148"/>
      <c r="E56" s="148"/>
    </row>
    <row r="57" spans="3:5" s="93" customFormat="1" ht="14.25" customHeight="1">
      <c r="C57" s="148"/>
      <c r="E57" s="148"/>
    </row>
    <row r="58" spans="3:5" s="93" customFormat="1" ht="14.25" customHeight="1">
      <c r="C58" s="148"/>
      <c r="E58" s="148"/>
    </row>
    <row r="59" spans="3:5" s="93" customFormat="1" ht="14.25" customHeight="1">
      <c r="C59" s="148"/>
      <c r="E59" s="148"/>
    </row>
    <row r="60" spans="3:5" s="93" customFormat="1" ht="14.25" customHeight="1">
      <c r="C60" s="148"/>
      <c r="E60" s="148"/>
    </row>
    <row r="61" spans="3:5" s="93" customFormat="1" ht="14.25" customHeight="1">
      <c r="C61" s="148"/>
      <c r="E61" s="148"/>
    </row>
    <row r="62" spans="3:5" s="93" customFormat="1" ht="14.25" customHeight="1">
      <c r="C62" s="148"/>
      <c r="E62" s="148"/>
    </row>
    <row r="63" spans="3:5" s="93" customFormat="1" ht="14.25" customHeight="1"/>
    <row r="64" spans="3:5" s="93" customFormat="1" ht="14.25" customHeight="1"/>
    <row r="65" spans="1:8" s="93" customFormat="1" ht="14.25" customHeight="1"/>
    <row r="66" spans="1:8" s="93" customFormat="1" ht="14.25" customHeight="1"/>
    <row r="67" spans="1:8" s="93" customFormat="1" ht="14.25" customHeight="1">
      <c r="A67" s="94"/>
    </row>
    <row r="68" spans="1:8" s="93" customFormat="1" ht="14.25" customHeight="1"/>
    <row r="69" spans="1:8" s="93" customFormat="1" ht="14.25" customHeight="1">
      <c r="B69" s="94"/>
      <c r="C69" s="311"/>
      <c r="D69" s="311"/>
      <c r="E69" s="311"/>
      <c r="F69" s="94"/>
    </row>
    <row r="70" spans="1:8" s="93" customFormat="1" ht="14.25" customHeight="1">
      <c r="C70" s="312"/>
      <c r="E70" s="312"/>
      <c r="F70" s="94"/>
      <c r="H70" s="319"/>
    </row>
    <row r="71" spans="1:8" s="93" customFormat="1" ht="14.25" customHeight="1">
      <c r="C71" s="312"/>
      <c r="E71" s="312"/>
      <c r="F71" s="94"/>
    </row>
    <row r="72" spans="1:8" s="93" customFormat="1" ht="14.25" customHeight="1">
      <c r="C72" s="312"/>
      <c r="E72" s="312"/>
      <c r="F72" s="94"/>
    </row>
    <row r="73" spans="1:8" s="93" customFormat="1" ht="14.25" customHeight="1">
      <c r="C73" s="312"/>
      <c r="E73" s="312"/>
      <c r="F73" s="94"/>
    </row>
    <row r="74" spans="1:8" s="93" customFormat="1" ht="14.25" customHeight="1">
      <c r="C74" s="312"/>
      <c r="E74" s="312"/>
      <c r="F74" s="94"/>
    </row>
    <row r="75" spans="1:8" s="93" customFormat="1" ht="14.25" customHeight="1">
      <c r="C75" s="312"/>
      <c r="E75" s="312"/>
      <c r="F75" s="94"/>
    </row>
    <row r="76" spans="1:8" s="93" customFormat="1" ht="14.25" customHeight="1">
      <c r="C76" s="312"/>
      <c r="E76" s="312"/>
      <c r="F76" s="94"/>
    </row>
    <row r="77" spans="1:8" s="93" customFormat="1" ht="14.25" customHeight="1">
      <c r="C77" s="312"/>
      <c r="E77" s="312"/>
      <c r="F77" s="94"/>
    </row>
    <row r="78" spans="1:8" s="93" customFormat="1" ht="14.25" customHeight="1">
      <c r="C78" s="312"/>
      <c r="E78" s="312"/>
      <c r="F78" s="94"/>
    </row>
    <row r="79" spans="1:8" s="93" customFormat="1" ht="14.25" customHeight="1">
      <c r="C79" s="312"/>
      <c r="E79" s="312"/>
      <c r="F79" s="94"/>
    </row>
    <row r="80" spans="1:8" s="93" customFormat="1" ht="14.25" customHeight="1">
      <c r="C80" s="312"/>
      <c r="E80" s="312"/>
      <c r="F80" s="94"/>
    </row>
    <row r="81" spans="2:3" s="93" customFormat="1" ht="14.25" customHeight="1"/>
    <row r="82" spans="2:3" s="93" customFormat="1" ht="14.25" customHeight="1">
      <c r="C82" s="312"/>
    </row>
    <row r="83" spans="2:3" s="93" customFormat="1" ht="14.25" customHeight="1"/>
    <row r="84" spans="2:3" s="93" customFormat="1" ht="14.25" customHeight="1"/>
    <row r="85" spans="2:3" s="93" customFormat="1" ht="14.25" customHeight="1"/>
    <row r="86" spans="2:3" s="93" customFormat="1" ht="14.25" customHeight="1"/>
    <row r="87" spans="2:3" s="93" customFormat="1" ht="14.25" customHeight="1"/>
    <row r="88" spans="2:3" s="93" customFormat="1" ht="14.25" customHeight="1"/>
    <row r="89" spans="2:3" s="93" customFormat="1" ht="14.25" customHeight="1"/>
    <row r="90" spans="2:3" s="93" customFormat="1" ht="14.25" customHeight="1"/>
    <row r="91" spans="2:3" s="93" customFormat="1" ht="14.25" customHeight="1"/>
    <row r="92" spans="2:3" s="93" customFormat="1" ht="14.25" customHeight="1">
      <c r="B92" s="94"/>
    </row>
    <row r="93" spans="2:3" s="93" customFormat="1" ht="14.25" customHeight="1">
      <c r="B93" s="94"/>
    </row>
    <row r="94" spans="2:3" s="93" customFormat="1" ht="14.25" customHeight="1"/>
    <row r="95" spans="2:3" s="93" customFormat="1" ht="14.25" customHeight="1"/>
    <row r="96" spans="2:3" ht="14.25" customHeight="1"/>
    <row r="97" spans="1:13" ht="14.25" customHeight="1"/>
    <row r="98" spans="1:13" ht="14.25" customHeight="1"/>
    <row r="100" spans="1:13" s="88" customFormat="1" ht="26.25" customHeight="1">
      <c r="A100" s="498" t="s">
        <v>77</v>
      </c>
      <c r="B100" s="498"/>
      <c r="C100" s="499"/>
      <c r="D100" s="87"/>
      <c r="E100" s="500" t="str">
        <f>HYPERLINK("#目录!A46","跳转回到目录页")</f>
        <v>跳转回到目录页</v>
      </c>
      <c r="F100" s="501"/>
    </row>
    <row r="101" spans="1:13" s="88" customFormat="1" ht="26.25" customHeight="1">
      <c r="A101" s="502" t="s">
        <v>1216</v>
      </c>
      <c r="B101" s="502"/>
      <c r="C101" s="503" t="s">
        <v>78</v>
      </c>
      <c r="D101" s="503"/>
      <c r="E101" s="503"/>
      <c r="F101" s="503"/>
      <c r="G101" s="503"/>
      <c r="H101" s="503"/>
      <c r="I101" s="503"/>
      <c r="J101" s="503"/>
      <c r="K101" s="503"/>
      <c r="L101" s="503"/>
      <c r="M101" s="503"/>
    </row>
    <row r="102" spans="1:13" s="88" customFormat="1" ht="16.5" customHeight="1">
      <c r="A102" s="496" t="s">
        <v>1217</v>
      </c>
      <c r="B102" s="496"/>
      <c r="C102" s="493" t="s">
        <v>1514</v>
      </c>
      <c r="D102" s="493"/>
      <c r="E102" s="493"/>
      <c r="F102" s="493"/>
      <c r="G102" s="493"/>
      <c r="H102" s="493"/>
      <c r="I102" s="493"/>
      <c r="J102" s="493"/>
      <c r="K102" s="493"/>
      <c r="L102" s="493"/>
      <c r="M102" s="493"/>
    </row>
    <row r="103" spans="1:13" s="88" customFormat="1" ht="16.5" customHeight="1">
      <c r="A103" s="496" t="s">
        <v>5786</v>
      </c>
      <c r="B103" s="496"/>
      <c r="C103" s="497" t="s">
        <v>78</v>
      </c>
      <c r="D103" s="497"/>
      <c r="E103" s="497"/>
      <c r="F103" s="497"/>
      <c r="G103" s="497"/>
      <c r="H103" s="497"/>
      <c r="I103" s="497"/>
      <c r="J103" s="497"/>
      <c r="K103" s="497"/>
      <c r="L103" s="497"/>
      <c r="M103" s="497"/>
    </row>
    <row r="104" spans="1:13" s="88" customFormat="1" ht="16.5" customHeight="1">
      <c r="A104" s="496" t="s">
        <v>1220</v>
      </c>
      <c r="B104" s="496"/>
      <c r="C104" s="493" t="s">
        <v>1515</v>
      </c>
      <c r="D104" s="493"/>
      <c r="E104" s="493"/>
      <c r="F104" s="493"/>
      <c r="G104" s="493"/>
      <c r="H104" s="493"/>
      <c r="I104" s="493"/>
      <c r="J104" s="493"/>
      <c r="K104" s="493"/>
      <c r="L104" s="493"/>
      <c r="M104" s="493"/>
    </row>
    <row r="105" spans="1:13" s="88" customFormat="1" ht="16.5" customHeight="1">
      <c r="A105" s="496" t="s">
        <v>5785</v>
      </c>
      <c r="B105" s="496"/>
      <c r="C105" s="493" t="s">
        <v>1516</v>
      </c>
      <c r="D105" s="493"/>
      <c r="E105" s="493"/>
      <c r="F105" s="493"/>
      <c r="G105" s="493"/>
      <c r="H105" s="493"/>
      <c r="I105" s="493"/>
      <c r="J105" s="493"/>
      <c r="K105" s="493"/>
      <c r="L105" s="493"/>
      <c r="M105" s="493"/>
    </row>
    <row r="106" spans="1:13" s="88" customFormat="1" ht="24.75" customHeight="1">
      <c r="A106" s="89" t="s">
        <v>1223</v>
      </c>
      <c r="B106" s="92" t="s">
        <v>1508</v>
      </c>
      <c r="C106" s="493" t="s">
        <v>1517</v>
      </c>
      <c r="D106" s="493"/>
      <c r="E106" s="493"/>
      <c r="F106" s="493"/>
      <c r="G106" s="493"/>
      <c r="H106" s="493"/>
      <c r="I106" s="493"/>
      <c r="J106" s="493"/>
      <c r="K106" s="493"/>
      <c r="L106" s="493"/>
      <c r="M106" s="493"/>
    </row>
    <row r="107" spans="1:13" s="88" customFormat="1" ht="16.5" customHeight="1">
      <c r="A107" s="89" t="s">
        <v>1228</v>
      </c>
      <c r="B107" s="493"/>
      <c r="C107" s="493"/>
      <c r="D107" s="493"/>
      <c r="E107" s="493"/>
      <c r="F107" s="493"/>
      <c r="G107" s="493"/>
      <c r="H107" s="493"/>
      <c r="I107" s="493"/>
      <c r="J107" s="493"/>
      <c r="K107" s="493"/>
      <c r="L107" s="493"/>
      <c r="M107" s="493"/>
    </row>
    <row r="108" spans="1:13" ht="16.5" customHeight="1">
      <c r="A108" s="89" t="s">
        <v>1229</v>
      </c>
      <c r="B108" s="493" t="s">
        <v>1510</v>
      </c>
      <c r="C108" s="493"/>
      <c r="D108" s="493"/>
      <c r="E108" s="493"/>
      <c r="F108" s="493"/>
      <c r="G108" s="493"/>
      <c r="H108" s="493"/>
      <c r="I108" s="493"/>
      <c r="J108" s="493"/>
      <c r="K108" s="493"/>
      <c r="L108" s="493"/>
      <c r="M108" s="493"/>
    </row>
    <row r="109" spans="1:13" ht="21" customHeight="1">
      <c r="B109" s="494" t="s">
        <v>1231</v>
      </c>
      <c r="C109" s="494"/>
      <c r="D109" s="494"/>
      <c r="E109" s="494"/>
      <c r="F109" s="494"/>
      <c r="G109" s="494"/>
      <c r="H109" s="494"/>
      <c r="I109" s="494"/>
      <c r="J109" s="494"/>
      <c r="K109" s="494"/>
      <c r="L109" s="495"/>
    </row>
    <row r="110" spans="1:13" ht="16.5" customHeight="1"/>
    <row r="111" spans="1:13" s="93" customFormat="1" ht="16.5" customHeight="1"/>
    <row r="112" spans="1:13" s="93" customFormat="1" ht="16.5" customHeight="1">
      <c r="A112" s="94" t="s">
        <v>1232</v>
      </c>
      <c r="B112" s="93" t="s">
        <v>1518</v>
      </c>
    </row>
    <row r="113" spans="2:9" s="93" customFormat="1" ht="16.5" customHeight="1"/>
    <row r="114" spans="2:9" s="93" customFormat="1" ht="16.5" customHeight="1">
      <c r="B114" s="541">
        <f>MONTH(B116)</f>
        <v>11</v>
      </c>
      <c r="C114" s="542"/>
      <c r="D114" s="359" t="s">
        <v>1519</v>
      </c>
      <c r="E114" s="360"/>
      <c r="F114" s="109" t="str">
        <f>IF(B114&lt;=6,"上半年","下半年")</f>
        <v>下半年</v>
      </c>
      <c r="G114" s="104" t="s">
        <v>1238</v>
      </c>
      <c r="I114" s="104" t="s">
        <v>1238</v>
      </c>
    </row>
    <row r="115" spans="2:9" s="93" customFormat="1" ht="16.5" customHeight="1">
      <c r="B115" s="111" t="s">
        <v>1371</v>
      </c>
      <c r="C115" s="100" t="s">
        <v>1520</v>
      </c>
      <c r="D115" s="100" t="s">
        <v>1520</v>
      </c>
      <c r="E115" s="100" t="s">
        <v>1520</v>
      </c>
      <c r="F115" s="112" t="s">
        <v>1521</v>
      </c>
      <c r="G115" s="108" t="s">
        <v>1522</v>
      </c>
      <c r="I115" s="108" t="s">
        <v>1523</v>
      </c>
    </row>
    <row r="116" spans="2:9" s="93" customFormat="1" ht="16.5" customHeight="1">
      <c r="B116" s="361">
        <v>40852</v>
      </c>
      <c r="C116" s="110">
        <v>177</v>
      </c>
      <c r="D116" s="110">
        <v>193</v>
      </c>
      <c r="E116" s="110">
        <v>157</v>
      </c>
      <c r="F116" s="101">
        <f>SUM(C116:E116)</f>
        <v>527</v>
      </c>
      <c r="G116" s="108" t="s">
        <v>1524</v>
      </c>
      <c r="I116" s="158" t="s">
        <v>1525</v>
      </c>
    </row>
    <row r="117" spans="2:9" s="93" customFormat="1" ht="16.5" customHeight="1">
      <c r="B117" s="361">
        <v>40853</v>
      </c>
      <c r="C117" s="110">
        <v>149</v>
      </c>
      <c r="D117" s="110">
        <v>174</v>
      </c>
      <c r="E117" s="110">
        <v>119</v>
      </c>
      <c r="F117" s="101">
        <f>SUM(C117:E117)</f>
        <v>442</v>
      </c>
    </row>
    <row r="118" spans="2:9" s="93" customFormat="1" ht="16.5" customHeight="1">
      <c r="B118" s="361">
        <v>40854</v>
      </c>
      <c r="C118" s="110">
        <v>170</v>
      </c>
      <c r="D118" s="110">
        <v>156</v>
      </c>
      <c r="E118" s="110">
        <v>116</v>
      </c>
      <c r="F118" s="101">
        <f>SUM(C118:E118)</f>
        <v>442</v>
      </c>
    </row>
    <row r="119" spans="2:9" s="93" customFormat="1" ht="16.5" customHeight="1">
      <c r="B119" s="361">
        <v>40855</v>
      </c>
      <c r="C119" s="110">
        <v>155</v>
      </c>
      <c r="D119" s="110">
        <v>160</v>
      </c>
      <c r="E119" s="110">
        <v>196</v>
      </c>
      <c r="F119" s="101">
        <f>SUM(C119:E119)</f>
        <v>511</v>
      </c>
    </row>
    <row r="120" spans="2:9" s="93" customFormat="1" ht="16.5" customHeight="1">
      <c r="B120" s="151" t="s">
        <v>1375</v>
      </c>
      <c r="C120" s="113"/>
      <c r="D120" s="113"/>
      <c r="E120" s="113"/>
      <c r="F120" s="107"/>
    </row>
    <row r="121" spans="2:9" s="93" customFormat="1" ht="16.5" customHeight="1"/>
    <row r="122" spans="2:9" s="93" customFormat="1" ht="16.5" customHeight="1"/>
    <row r="123" spans="2:9" s="93" customFormat="1" ht="16.5" customHeight="1">
      <c r="B123" s="93" t="s">
        <v>1261</v>
      </c>
    </row>
    <row r="124" spans="2:9" s="93" customFormat="1" ht="16.5" customHeight="1">
      <c r="B124" s="94" t="s">
        <v>245</v>
      </c>
      <c r="C124" s="93" t="s">
        <v>1482</v>
      </c>
    </row>
    <row r="125" spans="2:9" s="93" customFormat="1" ht="16.5" customHeight="1"/>
    <row r="126" spans="2:9" s="93" customFormat="1" ht="15"/>
    <row r="127" spans="2:9" s="93" customFormat="1" ht="15"/>
    <row r="128" spans="2:9" s="93" customFormat="1" ht="15"/>
    <row r="129" s="93" customFormat="1" ht="15"/>
    <row r="130" s="93" customFormat="1" ht="15"/>
    <row r="131" s="93" customFormat="1" ht="15"/>
    <row r="132" s="93" customFormat="1" ht="15"/>
    <row r="133" s="93" customFormat="1" ht="15"/>
    <row r="134" s="93" customFormat="1" ht="15"/>
    <row r="135" s="93" customFormat="1" ht="15"/>
    <row r="136" s="93" customFormat="1" ht="15"/>
    <row r="137" s="93" customFormat="1" ht="15"/>
    <row r="138" s="93" customFormat="1" ht="15"/>
    <row r="139" s="93" customFormat="1" ht="15"/>
    <row r="140" s="93" customFormat="1" ht="15"/>
    <row r="141" s="93" customFormat="1" ht="15"/>
    <row r="142" s="93" customFormat="1" ht="15"/>
    <row r="143" s="93" customFormat="1" ht="15"/>
    <row r="144" s="93" customFormat="1" ht="15"/>
    <row r="145" s="93" customFormat="1" ht="15"/>
    <row r="146" s="93" customFormat="1" ht="15"/>
    <row r="147" s="93" customFormat="1" ht="15"/>
    <row r="148" s="93" customFormat="1" ht="15"/>
    <row r="149" s="93" customFormat="1" ht="15"/>
    <row r="150" s="93" customFormat="1" ht="15"/>
    <row r="151" s="93" customFormat="1" ht="15"/>
    <row r="152" s="93" customFormat="1" ht="15"/>
    <row r="153" s="93" customFormat="1" ht="15"/>
    <row r="154" s="93" customFormat="1" ht="15"/>
    <row r="155" s="93" customFormat="1" ht="15"/>
    <row r="156" s="93" customFormat="1" ht="15"/>
    <row r="157" s="93" customFormat="1" ht="15"/>
    <row r="158" s="93" customFormat="1" ht="15"/>
    <row r="159" s="93" customFormat="1" ht="15"/>
    <row r="160" s="93" customFormat="1" ht="15"/>
    <row r="161" s="93" customFormat="1" ht="15"/>
    <row r="162" s="93" customFormat="1" ht="15"/>
    <row r="163" s="93" customFormat="1" ht="15"/>
    <row r="164" s="93" customFormat="1" ht="15"/>
    <row r="165" s="93" customFormat="1" ht="15"/>
    <row r="166" s="93" customFormat="1" ht="15"/>
    <row r="167" s="93" customFormat="1" ht="15"/>
    <row r="168" s="93" customFormat="1" ht="15"/>
    <row r="169" s="93" customFormat="1" ht="15"/>
    <row r="170" s="93" customFormat="1" ht="15"/>
    <row r="171" s="93" customFormat="1" ht="15"/>
    <row r="172" s="93" customFormat="1" ht="15"/>
    <row r="173" s="93" customFormat="1" ht="15"/>
    <row r="174" s="93" customFormat="1" ht="15"/>
    <row r="175" s="93" customFormat="1" ht="15"/>
    <row r="176" s="93" customFormat="1" ht="15"/>
    <row r="177" s="93" customFormat="1" ht="15"/>
    <row r="178" s="93" customFormat="1" ht="15"/>
    <row r="179" s="93" customFormat="1" ht="15"/>
    <row r="180" s="93" customFormat="1" ht="15"/>
    <row r="181" s="93" customFormat="1" ht="15"/>
    <row r="182" s="93" customFormat="1" ht="15"/>
    <row r="183" s="93" customFormat="1" ht="15"/>
    <row r="184" s="93" customFormat="1" ht="15"/>
    <row r="185" s="93" customFormat="1" ht="15"/>
    <row r="186" s="93" customFormat="1" ht="15"/>
    <row r="200" spans="1:13" s="88" customFormat="1" ht="26.25" customHeight="1">
      <c r="A200" s="498" t="s">
        <v>79</v>
      </c>
      <c r="B200" s="498"/>
      <c r="C200" s="499"/>
      <c r="D200" s="87"/>
      <c r="E200" s="500" t="str">
        <f>HYPERLINK("#目录!A47","跳转回到目录页")</f>
        <v>跳转回到目录页</v>
      </c>
      <c r="F200" s="501"/>
    </row>
    <row r="201" spans="1:13" s="88" customFormat="1" ht="26.25" customHeight="1">
      <c r="A201" s="502" t="s">
        <v>1216</v>
      </c>
      <c r="B201" s="502"/>
      <c r="C201" s="503" t="s">
        <v>80</v>
      </c>
      <c r="D201" s="503"/>
      <c r="E201" s="503"/>
      <c r="F201" s="503"/>
      <c r="G201" s="503"/>
      <c r="H201" s="503"/>
      <c r="I201" s="503"/>
      <c r="J201" s="503"/>
      <c r="K201" s="503"/>
      <c r="L201" s="503"/>
      <c r="M201" s="503"/>
    </row>
    <row r="202" spans="1:13" s="88" customFormat="1" ht="16.5" customHeight="1">
      <c r="A202" s="496" t="s">
        <v>1217</v>
      </c>
      <c r="B202" s="496"/>
      <c r="C202" s="493" t="s">
        <v>1526</v>
      </c>
      <c r="D202" s="493"/>
      <c r="E202" s="493"/>
      <c r="F202" s="493"/>
      <c r="G202" s="493"/>
      <c r="H202" s="493"/>
      <c r="I202" s="493"/>
      <c r="J202" s="493"/>
      <c r="K202" s="493"/>
      <c r="L202" s="493"/>
      <c r="M202" s="493"/>
    </row>
    <row r="203" spans="1:13" s="88" customFormat="1" ht="16.5" customHeight="1">
      <c r="A203" s="496" t="s">
        <v>5786</v>
      </c>
      <c r="B203" s="496"/>
      <c r="C203" s="497" t="s">
        <v>80</v>
      </c>
      <c r="D203" s="497"/>
      <c r="E203" s="497"/>
      <c r="F203" s="497"/>
      <c r="G203" s="497"/>
      <c r="H203" s="497"/>
      <c r="I203" s="497"/>
      <c r="J203" s="497"/>
      <c r="K203" s="497"/>
      <c r="L203" s="497"/>
      <c r="M203" s="497"/>
    </row>
    <row r="204" spans="1:13" s="88" customFormat="1" ht="16.5" customHeight="1">
      <c r="A204" s="496" t="s">
        <v>1220</v>
      </c>
      <c r="B204" s="496"/>
      <c r="C204" s="493" t="s">
        <v>1527</v>
      </c>
      <c r="D204" s="493"/>
      <c r="E204" s="493"/>
      <c r="F204" s="493"/>
      <c r="G204" s="493"/>
      <c r="H204" s="493"/>
      <c r="I204" s="493"/>
      <c r="J204" s="493"/>
      <c r="K204" s="493"/>
      <c r="L204" s="493"/>
      <c r="M204" s="493"/>
    </row>
    <row r="205" spans="1:13" s="88" customFormat="1" ht="16.5" customHeight="1">
      <c r="A205" s="496" t="s">
        <v>5785</v>
      </c>
      <c r="B205" s="496"/>
      <c r="C205" s="493" t="s">
        <v>1528</v>
      </c>
      <c r="D205" s="493"/>
      <c r="E205" s="493"/>
      <c r="F205" s="493"/>
      <c r="G205" s="493"/>
      <c r="H205" s="493"/>
      <c r="I205" s="493"/>
      <c r="J205" s="493"/>
      <c r="K205" s="493"/>
      <c r="L205" s="493"/>
      <c r="M205" s="493"/>
    </row>
    <row r="206" spans="1:13" s="88" customFormat="1" ht="24.75" customHeight="1">
      <c r="A206" s="89" t="s">
        <v>1223</v>
      </c>
      <c r="B206" s="92" t="s">
        <v>1508</v>
      </c>
      <c r="C206" s="493" t="s">
        <v>1529</v>
      </c>
      <c r="D206" s="493"/>
      <c r="E206" s="493"/>
      <c r="F206" s="493"/>
      <c r="G206" s="493"/>
      <c r="H206" s="493"/>
      <c r="I206" s="493"/>
      <c r="J206" s="493"/>
      <c r="K206" s="493"/>
      <c r="L206" s="493"/>
      <c r="M206" s="493"/>
    </row>
    <row r="207" spans="1:13" s="88" customFormat="1" ht="16.5" customHeight="1">
      <c r="A207" s="89" t="s">
        <v>1228</v>
      </c>
      <c r="B207" s="493"/>
      <c r="C207" s="493"/>
      <c r="D207" s="493"/>
      <c r="E207" s="493"/>
      <c r="F207" s="493"/>
      <c r="G207" s="493"/>
      <c r="H207" s="493"/>
      <c r="I207" s="493"/>
      <c r="J207" s="493"/>
      <c r="K207" s="493"/>
      <c r="L207" s="493"/>
      <c r="M207" s="493"/>
    </row>
    <row r="208" spans="1:13" ht="16.5" customHeight="1">
      <c r="A208" s="89" t="s">
        <v>1229</v>
      </c>
      <c r="B208" s="493" t="s">
        <v>1510</v>
      </c>
      <c r="C208" s="493"/>
      <c r="D208" s="493"/>
      <c r="E208" s="493"/>
      <c r="F208" s="493"/>
      <c r="G208" s="493"/>
      <c r="H208" s="493"/>
      <c r="I208" s="493"/>
      <c r="J208" s="493"/>
      <c r="K208" s="493"/>
      <c r="L208" s="493"/>
      <c r="M208" s="493"/>
    </row>
    <row r="209" spans="1:12" ht="21" customHeight="1">
      <c r="B209" s="494" t="s">
        <v>1231</v>
      </c>
      <c r="C209" s="494"/>
      <c r="D209" s="494"/>
      <c r="E209" s="494"/>
      <c r="F209" s="494"/>
      <c r="G209" s="494"/>
      <c r="H209" s="494"/>
      <c r="I209" s="494"/>
      <c r="J209" s="494"/>
      <c r="K209" s="494"/>
      <c r="L209" s="495"/>
    </row>
    <row r="210" spans="1:12" ht="16.5" customHeight="1"/>
    <row r="211" spans="1:12" ht="16.5" customHeight="1"/>
    <row r="212" spans="1:12" s="93" customFormat="1" ht="16.5" customHeight="1">
      <c r="A212" s="94" t="s">
        <v>1232</v>
      </c>
      <c r="B212" s="93" t="s">
        <v>1530</v>
      </c>
    </row>
    <row r="213" spans="1:12" s="93" customFormat="1" ht="16.5" customHeight="1"/>
    <row r="214" spans="1:12" s="93" customFormat="1" ht="16.5" customHeight="1">
      <c r="B214" s="534" t="s">
        <v>1371</v>
      </c>
      <c r="C214" s="535"/>
      <c r="D214" s="138" t="s">
        <v>1456</v>
      </c>
      <c r="E214" s="104" t="s">
        <v>1238</v>
      </c>
    </row>
    <row r="215" spans="1:12" s="93" customFormat="1" ht="16.5" customHeight="1">
      <c r="B215" s="536">
        <v>40574</v>
      </c>
      <c r="C215" s="537"/>
      <c r="D215" s="112">
        <f>DAY(B215)</f>
        <v>31</v>
      </c>
      <c r="E215" s="108" t="s">
        <v>1531</v>
      </c>
      <c r="G215" s="94"/>
    </row>
    <row r="216" spans="1:12" s="93" customFormat="1" ht="16.5" customHeight="1">
      <c r="B216" s="483">
        <v>40720</v>
      </c>
      <c r="C216" s="488"/>
      <c r="D216" s="112">
        <f>DAY(B216)</f>
        <v>26</v>
      </c>
      <c r="E216" s="148"/>
    </row>
    <row r="217" spans="1:12" s="93" customFormat="1" ht="16.5" customHeight="1">
      <c r="B217" s="538">
        <v>40576</v>
      </c>
      <c r="C217" s="539"/>
      <c r="D217" s="112">
        <f>DAY(B217)</f>
        <v>2</v>
      </c>
      <c r="E217" s="323"/>
    </row>
    <row r="218" spans="1:12" s="93" customFormat="1" ht="16.5" customHeight="1">
      <c r="B218" s="540" t="s">
        <v>1513</v>
      </c>
      <c r="C218" s="489"/>
      <c r="D218" s="150">
        <f>DAY(B218)</f>
        <v>18</v>
      </c>
    </row>
    <row r="219" spans="1:12" s="93" customFormat="1" ht="16.5" customHeight="1">
      <c r="B219" s="323"/>
    </row>
    <row r="220" spans="1:12">
      <c r="B220" s="362"/>
    </row>
    <row r="221" spans="1:12">
      <c r="B221" s="362"/>
    </row>
    <row r="222" spans="1:12">
      <c r="B222" s="362"/>
    </row>
    <row r="223" spans="1:12">
      <c r="B223" s="362"/>
    </row>
    <row r="224" spans="1:12">
      <c r="B224" s="362"/>
    </row>
    <row r="225" spans="2:2">
      <c r="B225" s="362"/>
    </row>
    <row r="226" spans="2:2">
      <c r="B226" s="362"/>
    </row>
    <row r="227" spans="2:2">
      <c r="B227" s="362"/>
    </row>
    <row r="228" spans="2:2">
      <c r="B228" s="362"/>
    </row>
    <row r="229" spans="2:2">
      <c r="B229" s="362"/>
    </row>
    <row r="230" spans="2:2">
      <c r="B230" s="362"/>
    </row>
    <row r="231" spans="2:2">
      <c r="B231" s="362"/>
    </row>
    <row r="232" spans="2:2">
      <c r="B232" s="362"/>
    </row>
    <row r="233" spans="2:2">
      <c r="B233" s="362"/>
    </row>
    <row r="234" spans="2:2">
      <c r="B234" s="362"/>
    </row>
    <row r="235" spans="2:2">
      <c r="B235" s="362"/>
    </row>
    <row r="236" spans="2:2">
      <c r="B236" s="362"/>
    </row>
    <row r="237" spans="2:2">
      <c r="B237" s="362"/>
    </row>
    <row r="238" spans="2:2">
      <c r="B238" s="362"/>
    </row>
    <row r="239" spans="2:2">
      <c r="B239" s="362"/>
    </row>
    <row r="240" spans="2:2">
      <c r="B240" s="362"/>
    </row>
    <row r="241" spans="2:2">
      <c r="B241" s="362"/>
    </row>
    <row r="242" spans="2:2">
      <c r="B242" s="362"/>
    </row>
    <row r="243" spans="2:2">
      <c r="B243" s="362"/>
    </row>
    <row r="244" spans="2:2">
      <c r="B244" s="362"/>
    </row>
    <row r="245" spans="2:2">
      <c r="B245" s="362"/>
    </row>
    <row r="246" spans="2:2">
      <c r="B246" s="362"/>
    </row>
    <row r="247" spans="2:2">
      <c r="B247" s="362"/>
    </row>
    <row r="248" spans="2:2">
      <c r="B248" s="362"/>
    </row>
    <row r="249" spans="2:2">
      <c r="B249" s="362"/>
    </row>
    <row r="250" spans="2:2">
      <c r="B250" s="362"/>
    </row>
    <row r="251" spans="2:2">
      <c r="B251" s="362"/>
    </row>
    <row r="252" spans="2:2">
      <c r="B252" s="362"/>
    </row>
    <row r="253" spans="2:2">
      <c r="B253" s="362"/>
    </row>
    <row r="254" spans="2:2">
      <c r="B254" s="362"/>
    </row>
    <row r="255" spans="2:2">
      <c r="B255" s="362"/>
    </row>
    <row r="256" spans="2:2">
      <c r="B256" s="362"/>
    </row>
    <row r="257" spans="2:2">
      <c r="B257" s="362"/>
    </row>
    <row r="258" spans="2:2">
      <c r="B258" s="362"/>
    </row>
    <row r="259" spans="2:2">
      <c r="B259" s="362"/>
    </row>
    <row r="260" spans="2:2">
      <c r="B260" s="362"/>
    </row>
    <row r="261" spans="2:2">
      <c r="B261" s="362"/>
    </row>
    <row r="262" spans="2:2">
      <c r="B262" s="362"/>
    </row>
    <row r="263" spans="2:2">
      <c r="B263" s="362"/>
    </row>
    <row r="264" spans="2:2">
      <c r="B264" s="362"/>
    </row>
    <row r="265" spans="2:2">
      <c r="B265" s="362"/>
    </row>
    <row r="266" spans="2:2">
      <c r="B266" s="362"/>
    </row>
    <row r="267" spans="2:2">
      <c r="B267" s="362"/>
    </row>
    <row r="268" spans="2:2">
      <c r="B268" s="362"/>
    </row>
    <row r="269" spans="2:2">
      <c r="B269" s="362"/>
    </row>
    <row r="270" spans="2:2">
      <c r="B270" s="362"/>
    </row>
    <row r="271" spans="2:2">
      <c r="B271" s="362"/>
    </row>
    <row r="272" spans="2:2">
      <c r="B272" s="362"/>
    </row>
    <row r="273" spans="2:2">
      <c r="B273" s="362"/>
    </row>
    <row r="274" spans="2:2">
      <c r="B274" s="362"/>
    </row>
    <row r="275" spans="2:2">
      <c r="B275" s="362"/>
    </row>
    <row r="276" spans="2:2">
      <c r="B276" s="362"/>
    </row>
    <row r="277" spans="2:2">
      <c r="B277" s="362"/>
    </row>
    <row r="278" spans="2:2">
      <c r="B278" s="362"/>
    </row>
    <row r="279" spans="2:2">
      <c r="B279" s="362"/>
    </row>
    <row r="280" spans="2:2">
      <c r="B280" s="362"/>
    </row>
    <row r="281" spans="2:2">
      <c r="B281" s="362"/>
    </row>
    <row r="282" spans="2:2">
      <c r="B282" s="362"/>
    </row>
    <row r="283" spans="2:2">
      <c r="B283" s="362"/>
    </row>
    <row r="284" spans="2:2">
      <c r="B284" s="362"/>
    </row>
    <row r="285" spans="2:2">
      <c r="B285" s="362"/>
    </row>
    <row r="286" spans="2:2">
      <c r="B286" s="362"/>
    </row>
    <row r="287" spans="2:2">
      <c r="B287" s="362"/>
    </row>
    <row r="288" spans="2:2">
      <c r="B288" s="362"/>
    </row>
    <row r="289" spans="1:13">
      <c r="B289" s="362"/>
    </row>
    <row r="290" spans="1:13">
      <c r="B290" s="362"/>
    </row>
    <row r="291" spans="1:13">
      <c r="B291" s="362"/>
    </row>
    <row r="292" spans="1:13">
      <c r="B292" s="362"/>
    </row>
    <row r="293" spans="1:13">
      <c r="B293" s="362"/>
    </row>
    <row r="294" spans="1:13">
      <c r="B294" s="362"/>
    </row>
    <row r="295" spans="1:13">
      <c r="B295" s="362"/>
    </row>
    <row r="296" spans="1:13">
      <c r="B296" s="362"/>
    </row>
    <row r="300" spans="1:13" s="88" customFormat="1" ht="26.25" customHeight="1">
      <c r="A300" s="498" t="s">
        <v>81</v>
      </c>
      <c r="B300" s="498"/>
      <c r="C300" s="499"/>
      <c r="D300" s="87"/>
      <c r="E300" s="500" t="str">
        <f>HYPERLINK("#目录!A48","跳转回到目录页")</f>
        <v>跳转回到目录页</v>
      </c>
      <c r="F300" s="501"/>
    </row>
    <row r="301" spans="1:13" s="88" customFormat="1" ht="26.25" customHeight="1">
      <c r="A301" s="502" t="s">
        <v>1216</v>
      </c>
      <c r="B301" s="502"/>
      <c r="C301" s="503" t="s">
        <v>82</v>
      </c>
      <c r="D301" s="503"/>
      <c r="E301" s="503"/>
      <c r="F301" s="503"/>
      <c r="G301" s="503"/>
      <c r="H301" s="503"/>
      <c r="I301" s="503"/>
      <c r="J301" s="503"/>
      <c r="K301" s="503"/>
      <c r="L301" s="503"/>
      <c r="M301" s="503"/>
    </row>
    <row r="302" spans="1:13" s="88" customFormat="1" ht="16.5" customHeight="1">
      <c r="A302" s="496" t="s">
        <v>1217</v>
      </c>
      <c r="B302" s="496"/>
      <c r="C302" s="493" t="s">
        <v>1532</v>
      </c>
      <c r="D302" s="493"/>
      <c r="E302" s="493"/>
      <c r="F302" s="493"/>
      <c r="G302" s="493"/>
      <c r="H302" s="493"/>
      <c r="I302" s="493"/>
      <c r="J302" s="493"/>
      <c r="K302" s="493"/>
      <c r="L302" s="493"/>
      <c r="M302" s="493"/>
    </row>
    <row r="303" spans="1:13" s="88" customFormat="1" ht="16.5" customHeight="1">
      <c r="A303" s="496" t="s">
        <v>5786</v>
      </c>
      <c r="B303" s="496"/>
      <c r="C303" s="497" t="s">
        <v>5958</v>
      </c>
      <c r="D303" s="497"/>
      <c r="E303" s="497"/>
      <c r="F303" s="497"/>
      <c r="G303" s="497"/>
      <c r="H303" s="497"/>
      <c r="I303" s="497"/>
      <c r="J303" s="497"/>
      <c r="K303" s="497"/>
      <c r="L303" s="497"/>
      <c r="M303" s="497"/>
    </row>
    <row r="304" spans="1:13" s="88" customFormat="1" ht="16.5" customHeight="1">
      <c r="A304" s="496" t="s">
        <v>1220</v>
      </c>
      <c r="B304" s="496"/>
      <c r="C304" s="493" t="s">
        <v>1533</v>
      </c>
      <c r="D304" s="493"/>
      <c r="E304" s="493"/>
      <c r="F304" s="493"/>
      <c r="G304" s="493"/>
      <c r="H304" s="493"/>
      <c r="I304" s="493"/>
      <c r="J304" s="493"/>
      <c r="K304" s="493"/>
      <c r="L304" s="493"/>
      <c r="M304" s="493"/>
    </row>
    <row r="305" spans="1:13" s="88" customFormat="1" ht="16.5" customHeight="1">
      <c r="A305" s="496" t="s">
        <v>5785</v>
      </c>
      <c r="B305" s="496"/>
      <c r="C305" s="493" t="s">
        <v>1534</v>
      </c>
      <c r="D305" s="493"/>
      <c r="E305" s="493"/>
      <c r="F305" s="493"/>
      <c r="G305" s="493"/>
      <c r="H305" s="493"/>
      <c r="I305" s="493"/>
      <c r="J305" s="493"/>
      <c r="K305" s="493"/>
      <c r="L305" s="493"/>
      <c r="M305" s="493"/>
    </row>
    <row r="306" spans="1:13" s="88" customFormat="1" ht="24.75" customHeight="1">
      <c r="A306" s="89" t="s">
        <v>1223</v>
      </c>
      <c r="B306" s="92" t="s">
        <v>1508</v>
      </c>
      <c r="C306" s="493" t="s">
        <v>1535</v>
      </c>
      <c r="D306" s="493"/>
      <c r="E306" s="493"/>
      <c r="F306" s="493"/>
      <c r="G306" s="493"/>
      <c r="H306" s="493"/>
      <c r="I306" s="493"/>
      <c r="J306" s="493"/>
      <c r="K306" s="493"/>
      <c r="L306" s="493"/>
      <c r="M306" s="493"/>
    </row>
    <row r="307" spans="1:13" s="88" customFormat="1" ht="36" customHeight="1">
      <c r="A307" s="89"/>
      <c r="B307" s="92" t="s">
        <v>1366</v>
      </c>
      <c r="C307" s="509" t="s">
        <v>1536</v>
      </c>
      <c r="D307" s="509"/>
      <c r="E307" s="509"/>
      <c r="F307" s="509"/>
      <c r="G307" s="509"/>
      <c r="H307" s="509"/>
      <c r="I307" s="509"/>
      <c r="J307" s="509"/>
      <c r="K307" s="509"/>
      <c r="L307" s="509"/>
      <c r="M307" s="509"/>
    </row>
    <row r="308" spans="1:13" s="88" customFormat="1" ht="16.5" customHeight="1">
      <c r="A308" s="89" t="s">
        <v>1228</v>
      </c>
      <c r="B308" s="493"/>
      <c r="C308" s="493"/>
      <c r="D308" s="493"/>
      <c r="E308" s="493"/>
      <c r="F308" s="493"/>
      <c r="G308" s="493"/>
      <c r="H308" s="493"/>
      <c r="I308" s="493"/>
      <c r="J308" s="493"/>
      <c r="K308" s="493"/>
      <c r="L308" s="493"/>
      <c r="M308" s="493"/>
    </row>
    <row r="309" spans="1:13" ht="16.5" customHeight="1">
      <c r="A309" s="89" t="s">
        <v>1229</v>
      </c>
      <c r="B309" s="493" t="s">
        <v>1510</v>
      </c>
      <c r="C309" s="493"/>
      <c r="D309" s="493"/>
      <c r="E309" s="493"/>
      <c r="F309" s="493"/>
      <c r="G309" s="493"/>
      <c r="H309" s="493"/>
      <c r="I309" s="493"/>
      <c r="J309" s="493"/>
      <c r="K309" s="493"/>
      <c r="L309" s="493"/>
      <c r="M309" s="493"/>
    </row>
    <row r="310" spans="1:13" ht="21" customHeight="1">
      <c r="B310" s="494" t="s">
        <v>1231</v>
      </c>
      <c r="C310" s="494"/>
      <c r="D310" s="494"/>
      <c r="E310" s="494"/>
      <c r="F310" s="494"/>
      <c r="G310" s="494"/>
      <c r="H310" s="494"/>
      <c r="I310" s="494"/>
      <c r="J310" s="494"/>
      <c r="K310" s="494"/>
      <c r="L310" s="495"/>
    </row>
    <row r="311" spans="1:13" ht="16.5" customHeight="1"/>
    <row r="312" spans="1:13" ht="16.5" customHeight="1"/>
    <row r="313" spans="1:13" ht="16.5" customHeight="1">
      <c r="A313" s="94" t="s">
        <v>1232</v>
      </c>
      <c r="B313" s="93" t="s">
        <v>1537</v>
      </c>
      <c r="C313" s="93"/>
      <c r="D313" s="93"/>
      <c r="E313" s="93"/>
    </row>
    <row r="314" spans="1:13" ht="16.5" customHeight="1"/>
    <row r="315" spans="1:13" s="93" customFormat="1" ht="16.5" customHeight="1">
      <c r="B315" s="94" t="s">
        <v>1371</v>
      </c>
      <c r="C315" s="94" t="s">
        <v>1538</v>
      </c>
      <c r="D315" s="104" t="s">
        <v>1238</v>
      </c>
    </row>
    <row r="316" spans="1:13" s="93" customFormat="1" ht="16.5" customHeight="1">
      <c r="B316" s="148">
        <v>40852</v>
      </c>
      <c r="C316" s="93">
        <f>WEEKDAY(B316,2)</f>
        <v>6</v>
      </c>
      <c r="D316" s="108" t="s">
        <v>1539</v>
      </c>
    </row>
    <row r="317" spans="1:13" s="93" customFormat="1" ht="16.5" customHeight="1"/>
    <row r="318" spans="1:13" s="93" customFormat="1" ht="16.5" customHeight="1">
      <c r="A318" s="94" t="s">
        <v>1244</v>
      </c>
    </row>
    <row r="319" spans="1:13" s="93" customFormat="1" ht="16.5" customHeight="1">
      <c r="B319" s="482" t="s">
        <v>1540</v>
      </c>
      <c r="C319" s="504"/>
      <c r="D319" s="504"/>
      <c r="E319" s="505"/>
    </row>
    <row r="320" spans="1:13" s="93" customFormat="1" ht="16.5" customHeight="1">
      <c r="B320" s="526" t="s">
        <v>1541</v>
      </c>
      <c r="C320" s="527"/>
      <c r="D320" s="528" t="s">
        <v>1542</v>
      </c>
      <c r="E320" s="529"/>
    </row>
    <row r="321" spans="2:13" s="93" customFormat="1" ht="16.5" customHeight="1">
      <c r="B321" s="526" t="s">
        <v>1543</v>
      </c>
      <c r="C321" s="527"/>
      <c r="D321" s="528" t="s">
        <v>1544</v>
      </c>
      <c r="E321" s="529"/>
    </row>
    <row r="322" spans="2:13" s="93" customFormat="1" ht="16.5" customHeight="1">
      <c r="B322" s="526" t="s">
        <v>1545</v>
      </c>
      <c r="C322" s="527"/>
      <c r="D322" s="528" t="s">
        <v>1546</v>
      </c>
      <c r="E322" s="529"/>
    </row>
    <row r="323" spans="2:13" s="93" customFormat="1" ht="16.5" customHeight="1">
      <c r="B323" s="526" t="s">
        <v>1547</v>
      </c>
      <c r="C323" s="527"/>
      <c r="D323" s="528" t="s">
        <v>1548</v>
      </c>
      <c r="E323" s="529"/>
    </row>
    <row r="324" spans="2:13" s="93" customFormat="1" ht="16.5" customHeight="1">
      <c r="B324" s="530" t="s">
        <v>1549</v>
      </c>
      <c r="C324" s="531"/>
      <c r="D324" s="532" t="s">
        <v>1550</v>
      </c>
      <c r="E324" s="533"/>
    </row>
    <row r="325" spans="2:13" s="93" customFormat="1" ht="16.5" customHeight="1"/>
    <row r="326" spans="2:13" s="93" customFormat="1" ht="16.5" customHeight="1">
      <c r="B326" s="187" t="s">
        <v>1371</v>
      </c>
      <c r="C326" s="138" t="s">
        <v>1542</v>
      </c>
      <c r="D326" s="104" t="s">
        <v>1238</v>
      </c>
    </row>
    <row r="327" spans="2:13" s="93" customFormat="1" ht="16.5" customHeight="1">
      <c r="B327" s="141">
        <v>40852</v>
      </c>
      <c r="C327" s="101" t="str">
        <f>TEXT(WEEKDAY(B327),"aaaa")</f>
        <v>星期六</v>
      </c>
      <c r="D327" s="108" t="s">
        <v>5959</v>
      </c>
    </row>
    <row r="328" spans="2:13" s="93" customFormat="1" ht="16.5" customHeight="1">
      <c r="B328" s="141">
        <v>40852</v>
      </c>
      <c r="C328" s="101" t="str">
        <f>TEXT(WEEKDAY(B328),"aaa")</f>
        <v>六</v>
      </c>
      <c r="D328" s="108" t="s">
        <v>5960</v>
      </c>
    </row>
    <row r="329" spans="2:13" s="93" customFormat="1" ht="16.5" customHeight="1">
      <c r="B329" s="141">
        <v>40852</v>
      </c>
      <c r="C329" s="101" t="str">
        <f>TEXT(WEEKDAY(B329),"dddd")</f>
        <v>Saturday</v>
      </c>
      <c r="D329" s="108" t="s">
        <v>5961</v>
      </c>
    </row>
    <row r="330" spans="2:13" s="93" customFormat="1" ht="16.5" customHeight="1">
      <c r="B330" s="363">
        <v>40852</v>
      </c>
      <c r="C330" s="107" t="str">
        <f>TEXT(WEEKDAY(B330),"ddd")</f>
        <v>Sat</v>
      </c>
      <c r="D330" s="108" t="s">
        <v>5962</v>
      </c>
    </row>
    <row r="331" spans="2:13" s="93" customFormat="1" ht="16.5" customHeight="1">
      <c r="B331" s="148"/>
    </row>
    <row r="332" spans="2:13" ht="16.5" customHeight="1">
      <c r="B332" s="93" t="s">
        <v>1551</v>
      </c>
      <c r="C332" s="93"/>
      <c r="D332" s="93"/>
      <c r="E332" s="93"/>
      <c r="F332" s="93"/>
      <c r="G332" s="93"/>
      <c r="H332" s="93"/>
      <c r="I332" s="93"/>
      <c r="J332" s="93"/>
      <c r="K332" s="93"/>
      <c r="L332" s="93"/>
      <c r="M332" s="93"/>
    </row>
  </sheetData>
  <mergeCells count="87">
    <mergeCell ref="A1:C1"/>
    <mergeCell ref="E1:F1"/>
    <mergeCell ref="A2:B2"/>
    <mergeCell ref="C2:M2"/>
    <mergeCell ref="A3:B3"/>
    <mergeCell ref="C3:M3"/>
    <mergeCell ref="A4:B4"/>
    <mergeCell ref="C4:M4"/>
    <mergeCell ref="A5:B5"/>
    <mergeCell ref="C5:M5"/>
    <mergeCell ref="A6:B6"/>
    <mergeCell ref="C6:M6"/>
    <mergeCell ref="A101:B101"/>
    <mergeCell ref="C101:M101"/>
    <mergeCell ref="C7:M7"/>
    <mergeCell ref="B8:M8"/>
    <mergeCell ref="B9:M9"/>
    <mergeCell ref="B10:L10"/>
    <mergeCell ref="B14:C14"/>
    <mergeCell ref="B15:C15"/>
    <mergeCell ref="B16:C16"/>
    <mergeCell ref="B17:C17"/>
    <mergeCell ref="B18:C18"/>
    <mergeCell ref="A100:C100"/>
    <mergeCell ref="E100:F100"/>
    <mergeCell ref="A102:B102"/>
    <mergeCell ref="C102:M102"/>
    <mergeCell ref="A103:B103"/>
    <mergeCell ref="C103:M103"/>
    <mergeCell ref="A104:B104"/>
    <mergeCell ref="C104:M104"/>
    <mergeCell ref="A202:B202"/>
    <mergeCell ref="C202:M202"/>
    <mergeCell ref="A105:B105"/>
    <mergeCell ref="C105:M105"/>
    <mergeCell ref="C106:M106"/>
    <mergeCell ref="B107:M107"/>
    <mergeCell ref="B108:M108"/>
    <mergeCell ref="B109:L109"/>
    <mergeCell ref="B114:C114"/>
    <mergeCell ref="A200:C200"/>
    <mergeCell ref="E200:F200"/>
    <mergeCell ref="A201:B201"/>
    <mergeCell ref="C201:M201"/>
    <mergeCell ref="A203:B203"/>
    <mergeCell ref="C203:M203"/>
    <mergeCell ref="A204:B204"/>
    <mergeCell ref="C204:M204"/>
    <mergeCell ref="A205:B205"/>
    <mergeCell ref="C205:M205"/>
    <mergeCell ref="A301:B301"/>
    <mergeCell ref="C301:M301"/>
    <mergeCell ref="C206:M206"/>
    <mergeCell ref="B207:M207"/>
    <mergeCell ref="B208:M208"/>
    <mergeCell ref="B209:L209"/>
    <mergeCell ref="B214:C214"/>
    <mergeCell ref="B215:C215"/>
    <mergeCell ref="B216:C216"/>
    <mergeCell ref="B217:C217"/>
    <mergeCell ref="B218:C218"/>
    <mergeCell ref="A300:C300"/>
    <mergeCell ref="E300:F300"/>
    <mergeCell ref="B309:M309"/>
    <mergeCell ref="A302:B302"/>
    <mergeCell ref="C302:M302"/>
    <mergeCell ref="A303:B303"/>
    <mergeCell ref="C303:M303"/>
    <mergeCell ref="A304:B304"/>
    <mergeCell ref="C304:M304"/>
    <mergeCell ref="A305:B305"/>
    <mergeCell ref="C305:M305"/>
    <mergeCell ref="C306:M306"/>
    <mergeCell ref="C307:M307"/>
    <mergeCell ref="B308:M308"/>
    <mergeCell ref="B310:L310"/>
    <mergeCell ref="B319:E319"/>
    <mergeCell ref="B320:C320"/>
    <mergeCell ref="D320:E320"/>
    <mergeCell ref="B321:C321"/>
    <mergeCell ref="D321:E321"/>
    <mergeCell ref="B322:C322"/>
    <mergeCell ref="D322:E322"/>
    <mergeCell ref="B323:C323"/>
    <mergeCell ref="D323:E323"/>
    <mergeCell ref="B324:C324"/>
    <mergeCell ref="D324:E324"/>
  </mergeCells>
  <phoneticPr fontId="2" type="noConversion"/>
  <pageMargins left="0.75" right="0.75" top="1" bottom="1" header="0.5" footer="0.5"/>
  <pageSetup paperSize="9" orientation="portrait" horizontalDpi="1200" verticalDpi="1200"/>
  <headerFooter scaleWithDoc="0"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0"/>
  <dimension ref="A1:AV81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759</v>
      </c>
      <c r="B1" s="498"/>
      <c r="C1" s="499"/>
      <c r="D1" s="87"/>
      <c r="E1" s="500" t="str">
        <f>HYPERLINK("#目录!A295","跳转回到目录页")</f>
        <v>跳转回到目录页</v>
      </c>
      <c r="F1" s="501"/>
    </row>
    <row r="2" spans="1:48" s="88" customFormat="1" ht="26.25" customHeight="1">
      <c r="A2" s="502" t="s">
        <v>1216</v>
      </c>
      <c r="B2" s="502"/>
      <c r="C2" s="503" t="s">
        <v>492</v>
      </c>
      <c r="D2" s="503"/>
      <c r="E2" s="503"/>
      <c r="F2" s="503"/>
      <c r="G2" s="503"/>
      <c r="H2" s="503"/>
      <c r="I2" s="503"/>
      <c r="J2" s="503"/>
      <c r="K2" s="503"/>
      <c r="L2" s="503"/>
      <c r="M2" s="503"/>
    </row>
    <row r="3" spans="1:48" s="88" customFormat="1" ht="24.75" customHeight="1">
      <c r="A3" s="496" t="s">
        <v>1217</v>
      </c>
      <c r="B3" s="496"/>
      <c r="C3" s="493" t="s">
        <v>4072</v>
      </c>
      <c r="D3" s="493"/>
      <c r="E3" s="493"/>
      <c r="F3" s="493"/>
      <c r="G3" s="493"/>
      <c r="H3" s="493"/>
      <c r="I3" s="493"/>
      <c r="J3" s="493"/>
      <c r="K3" s="493"/>
      <c r="L3" s="493"/>
      <c r="M3" s="493"/>
    </row>
    <row r="4" spans="1:48" s="88" customFormat="1" ht="16.5" customHeight="1">
      <c r="A4" s="496" t="s">
        <v>5786</v>
      </c>
      <c r="B4" s="496"/>
      <c r="C4" s="497" t="s">
        <v>4073</v>
      </c>
      <c r="D4" s="497"/>
      <c r="E4" s="497"/>
      <c r="F4" s="497"/>
      <c r="G4" s="497"/>
      <c r="H4" s="497"/>
      <c r="I4" s="497"/>
      <c r="J4" s="497"/>
      <c r="K4" s="497"/>
      <c r="L4" s="497"/>
      <c r="M4" s="497"/>
    </row>
    <row r="5" spans="1:48" s="88" customFormat="1" ht="16.5" customHeight="1">
      <c r="A5" s="496" t="s">
        <v>1220</v>
      </c>
      <c r="B5" s="496"/>
      <c r="C5" s="493" t="s">
        <v>4074</v>
      </c>
      <c r="D5" s="493"/>
      <c r="E5" s="493"/>
      <c r="F5" s="493"/>
      <c r="G5" s="493"/>
      <c r="H5" s="493"/>
      <c r="I5" s="493"/>
      <c r="J5" s="493"/>
      <c r="K5" s="493"/>
      <c r="L5" s="493"/>
      <c r="M5" s="493"/>
    </row>
    <row r="6" spans="1:48" s="88" customFormat="1" ht="16.5" customHeight="1">
      <c r="A6" s="496" t="s">
        <v>5785</v>
      </c>
      <c r="B6" s="496"/>
      <c r="C6" s="493" t="s">
        <v>4075</v>
      </c>
      <c r="D6" s="493"/>
      <c r="E6" s="493"/>
      <c r="F6" s="493"/>
      <c r="G6" s="493"/>
      <c r="H6" s="493"/>
      <c r="I6" s="493"/>
      <c r="J6" s="493"/>
      <c r="K6" s="493"/>
      <c r="L6" s="493"/>
      <c r="M6" s="493"/>
    </row>
    <row r="7" spans="1:48" s="88" customFormat="1" ht="16.5" customHeight="1">
      <c r="A7" s="89" t="s">
        <v>1223</v>
      </c>
      <c r="B7" s="92" t="s">
        <v>4076</v>
      </c>
      <c r="C7" s="493" t="s">
        <v>4077</v>
      </c>
      <c r="D7" s="493"/>
      <c r="E7" s="493"/>
      <c r="F7" s="493"/>
      <c r="G7" s="493"/>
      <c r="H7" s="493"/>
      <c r="I7" s="493"/>
      <c r="J7" s="493"/>
      <c r="K7" s="493"/>
      <c r="L7" s="493"/>
      <c r="M7" s="493"/>
    </row>
    <row r="8" spans="1:48" s="88" customFormat="1" ht="16.5" customHeight="1">
      <c r="A8" s="89"/>
      <c r="B8" s="92" t="s">
        <v>4078</v>
      </c>
      <c r="C8" s="493" t="s">
        <v>4079</v>
      </c>
      <c r="D8" s="493"/>
      <c r="E8" s="493"/>
      <c r="F8" s="493"/>
      <c r="G8" s="493"/>
      <c r="H8" s="493"/>
      <c r="I8" s="493"/>
      <c r="J8" s="493"/>
      <c r="K8" s="493"/>
      <c r="L8" s="493"/>
      <c r="M8" s="493"/>
    </row>
    <row r="9" spans="1:48" s="88" customFormat="1" ht="24.75" customHeight="1">
      <c r="A9" s="89"/>
      <c r="B9" s="92" t="s">
        <v>4080</v>
      </c>
      <c r="C9" s="509" t="s">
        <v>4081</v>
      </c>
      <c r="D9" s="509"/>
      <c r="E9" s="509"/>
      <c r="F9" s="509"/>
      <c r="G9" s="509"/>
      <c r="H9" s="509"/>
      <c r="I9" s="509"/>
      <c r="J9" s="509"/>
      <c r="K9" s="509"/>
      <c r="L9" s="509"/>
      <c r="M9" s="509"/>
    </row>
    <row r="10" spans="1:48" s="88" customFormat="1" ht="24.75" customHeight="1">
      <c r="A10" s="89"/>
      <c r="B10" s="90" t="s">
        <v>4082</v>
      </c>
      <c r="C10" s="493" t="s">
        <v>4083</v>
      </c>
      <c r="D10" s="493"/>
      <c r="E10" s="493"/>
      <c r="F10" s="493"/>
      <c r="G10" s="493"/>
      <c r="H10" s="493"/>
      <c r="I10" s="493"/>
      <c r="J10" s="493"/>
      <c r="K10" s="493"/>
      <c r="L10" s="493"/>
      <c r="M10" s="493"/>
    </row>
    <row r="11" spans="1:48" s="88" customFormat="1" ht="16.5" customHeight="1">
      <c r="A11" s="89" t="s">
        <v>1228</v>
      </c>
      <c r="B11" s="493"/>
      <c r="C11" s="493"/>
      <c r="D11" s="493"/>
      <c r="E11" s="493"/>
      <c r="F11" s="493"/>
      <c r="G11" s="493"/>
      <c r="H11" s="493"/>
      <c r="I11" s="493"/>
      <c r="J11" s="493"/>
      <c r="K11" s="493"/>
      <c r="L11" s="493"/>
      <c r="M11" s="493"/>
    </row>
    <row r="12" spans="1:48" ht="51" customHeight="1">
      <c r="A12" s="89" t="s">
        <v>1229</v>
      </c>
      <c r="B12" s="673" t="s">
        <v>4084</v>
      </c>
      <c r="C12" s="673"/>
      <c r="D12" s="673"/>
      <c r="E12" s="673"/>
      <c r="F12" s="673"/>
      <c r="G12" s="673"/>
      <c r="H12" s="673"/>
      <c r="I12" s="673"/>
      <c r="J12" s="673"/>
      <c r="K12" s="673"/>
      <c r="L12" s="673"/>
      <c r="M12" s="673"/>
    </row>
    <row r="13" spans="1:48" ht="21" customHeight="1">
      <c r="B13" s="494" t="s">
        <v>2863</v>
      </c>
      <c r="C13" s="494"/>
      <c r="D13" s="494"/>
      <c r="E13" s="494"/>
      <c r="F13" s="494"/>
      <c r="G13" s="494"/>
      <c r="H13" s="494"/>
      <c r="I13" s="494"/>
      <c r="J13" s="494"/>
      <c r="K13" s="494"/>
      <c r="L13" s="495"/>
    </row>
    <row r="14" spans="1:48" s="93" customFormat="1" ht="16.5" customHeight="1"/>
    <row r="15" spans="1:48" s="93" customFormat="1" ht="16.5" customHeight="1">
      <c r="A15" s="94" t="s">
        <v>1232</v>
      </c>
      <c r="B15" s="93" t="s">
        <v>1773</v>
      </c>
      <c r="E15" s="93" t="s">
        <v>3592</v>
      </c>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E17" s="93" t="s">
        <v>3592</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t="s">
        <v>4085</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518" t="s">
        <v>4086</v>
      </c>
      <c r="C20" s="518"/>
      <c r="D20" s="518"/>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87" t="s">
        <v>4087</v>
      </c>
      <c r="C21" s="188" t="s">
        <v>4088</v>
      </c>
      <c r="D21" s="138" t="s">
        <v>4089</v>
      </c>
      <c r="F21" s="549" t="s">
        <v>4090</v>
      </c>
      <c r="G21" s="549"/>
      <c r="H21" s="104" t="s">
        <v>1238</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05">
        <v>6</v>
      </c>
      <c r="C22" s="113">
        <v>10</v>
      </c>
      <c r="D22" s="107">
        <v>0.3</v>
      </c>
      <c r="G22" s="93">
        <f>BINOMDIST(B22,C22,D22,0)</f>
        <v>3.6756909000000039E-2</v>
      </c>
      <c r="H22" s="108" t="s">
        <v>4091</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A24" s="9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A34" s="9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13">
      <c r="A49" s="93"/>
      <c r="B49" s="93"/>
      <c r="C49" s="93"/>
      <c r="D49" s="93"/>
      <c r="E49" s="93"/>
      <c r="F49" s="93"/>
      <c r="G49" s="93"/>
      <c r="H49" s="93"/>
      <c r="I49" s="93"/>
      <c r="J49" s="93"/>
      <c r="K49" s="93"/>
      <c r="L49" s="93"/>
      <c r="M49" s="93"/>
    </row>
    <row r="100" spans="1:13" s="88" customFormat="1" ht="26.25" customHeight="1">
      <c r="A100" s="498" t="s">
        <v>805</v>
      </c>
      <c r="B100" s="498"/>
      <c r="C100" s="499"/>
      <c r="D100" s="87"/>
      <c r="E100" s="500" t="str">
        <f>HYPERLINK("#目录!A296","跳转回到目录页")</f>
        <v>跳转回到目录页</v>
      </c>
      <c r="F100" s="501"/>
    </row>
    <row r="101" spans="1:13" s="88" customFormat="1" ht="26.25" customHeight="1">
      <c r="A101" s="502" t="s">
        <v>1216</v>
      </c>
      <c r="B101" s="502"/>
      <c r="C101" s="503" t="s">
        <v>493</v>
      </c>
      <c r="D101" s="503"/>
      <c r="E101" s="503"/>
      <c r="F101" s="503"/>
      <c r="G101" s="503"/>
      <c r="H101" s="503"/>
      <c r="I101" s="503"/>
      <c r="J101" s="503"/>
      <c r="K101" s="503"/>
      <c r="L101" s="503"/>
      <c r="M101" s="503"/>
    </row>
    <row r="102" spans="1:13" s="88" customFormat="1" ht="16.5" customHeight="1">
      <c r="A102" s="496" t="s">
        <v>1217</v>
      </c>
      <c r="B102" s="496"/>
      <c r="C102" s="493" t="s">
        <v>4092</v>
      </c>
      <c r="D102" s="493"/>
      <c r="E102" s="493"/>
      <c r="F102" s="493"/>
      <c r="G102" s="493"/>
      <c r="H102" s="493"/>
      <c r="I102" s="493"/>
      <c r="J102" s="493"/>
      <c r="K102" s="493"/>
      <c r="L102" s="493"/>
      <c r="M102" s="493"/>
    </row>
    <row r="103" spans="1:13" s="88" customFormat="1" ht="16.5" customHeight="1">
      <c r="A103" s="496" t="s">
        <v>5786</v>
      </c>
      <c r="B103" s="496"/>
      <c r="C103" s="497" t="s">
        <v>493</v>
      </c>
      <c r="D103" s="497"/>
      <c r="E103" s="497"/>
      <c r="F103" s="497"/>
      <c r="G103" s="497"/>
      <c r="H103" s="497"/>
      <c r="I103" s="497"/>
      <c r="J103" s="497"/>
      <c r="K103" s="497"/>
      <c r="L103" s="497"/>
      <c r="M103" s="497"/>
    </row>
    <row r="104" spans="1:13" s="88" customFormat="1" ht="16.5" customHeight="1">
      <c r="A104" s="496" t="s">
        <v>1220</v>
      </c>
      <c r="B104" s="496"/>
      <c r="C104" s="493" t="s">
        <v>4093</v>
      </c>
      <c r="D104" s="493"/>
      <c r="E104" s="493"/>
      <c r="F104" s="493"/>
      <c r="G104" s="493"/>
      <c r="H104" s="493"/>
      <c r="I104" s="493"/>
      <c r="J104" s="493"/>
      <c r="K104" s="493"/>
      <c r="L104" s="493"/>
      <c r="M104" s="493"/>
    </row>
    <row r="105" spans="1:13" s="88" customFormat="1" ht="16.5" customHeight="1">
      <c r="A105" s="496" t="s">
        <v>5785</v>
      </c>
      <c r="B105" s="496"/>
      <c r="C105" s="493" t="s">
        <v>4094</v>
      </c>
      <c r="D105" s="493"/>
      <c r="E105" s="493"/>
      <c r="F105" s="493"/>
      <c r="G105" s="493"/>
      <c r="H105" s="493"/>
      <c r="I105" s="493"/>
      <c r="J105" s="493"/>
      <c r="K105" s="493"/>
      <c r="L105" s="493"/>
      <c r="M105" s="493"/>
    </row>
    <row r="106" spans="1:13" s="88" customFormat="1" ht="16.5" customHeight="1">
      <c r="A106" s="89" t="s">
        <v>1223</v>
      </c>
      <c r="B106" s="92" t="s">
        <v>4078</v>
      </c>
      <c r="C106" s="493" t="s">
        <v>4095</v>
      </c>
      <c r="D106" s="493"/>
      <c r="E106" s="493"/>
      <c r="F106" s="493"/>
      <c r="G106" s="493"/>
      <c r="H106" s="493"/>
      <c r="I106" s="493"/>
      <c r="J106" s="493"/>
      <c r="K106" s="493"/>
      <c r="L106" s="493"/>
      <c r="M106" s="493"/>
    </row>
    <row r="107" spans="1:13" s="88" customFormat="1" ht="24.75" customHeight="1">
      <c r="A107" s="89"/>
      <c r="B107" s="92" t="s">
        <v>4080</v>
      </c>
      <c r="C107" s="493" t="s">
        <v>4096</v>
      </c>
      <c r="D107" s="493"/>
      <c r="E107" s="493"/>
      <c r="F107" s="493"/>
      <c r="G107" s="493"/>
      <c r="H107" s="493"/>
      <c r="I107" s="493"/>
      <c r="J107" s="493"/>
      <c r="K107" s="493"/>
      <c r="L107" s="493"/>
      <c r="M107" s="493"/>
    </row>
    <row r="108" spans="1:13" s="88" customFormat="1" ht="16.5" customHeight="1">
      <c r="A108" s="89"/>
      <c r="B108" s="90" t="s">
        <v>4041</v>
      </c>
      <c r="C108" s="493" t="s">
        <v>4097</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62.25" customHeight="1">
      <c r="A110" s="89" t="s">
        <v>1229</v>
      </c>
      <c r="B110" s="493" t="s">
        <v>4098</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2" s="93" customFormat="1" ht="16.5" customHeight="1">
      <c r="A113" s="94" t="s">
        <v>1232</v>
      </c>
      <c r="B113" s="93" t="s">
        <v>1773</v>
      </c>
    </row>
    <row r="114" spans="1:12" ht="16.5" customHeight="1">
      <c r="B114" s="93"/>
      <c r="C114" s="93"/>
      <c r="D114" s="93"/>
      <c r="E114" s="93"/>
      <c r="F114" s="93"/>
      <c r="G114" s="93"/>
      <c r="H114" s="93"/>
      <c r="I114" s="93"/>
      <c r="J114" s="93"/>
      <c r="K114" s="93"/>
      <c r="L114" s="93"/>
    </row>
    <row r="115" spans="1:12" ht="16.5" customHeight="1">
      <c r="B115" s="93"/>
      <c r="C115" s="93"/>
      <c r="D115" s="93"/>
      <c r="E115" s="93"/>
      <c r="F115" s="93"/>
      <c r="G115" s="93"/>
      <c r="H115" s="93"/>
      <c r="I115" s="93"/>
      <c r="J115" s="93"/>
      <c r="K115" s="93"/>
      <c r="L115" s="93"/>
    </row>
    <row r="116" spans="1:12" ht="16.5" customHeight="1">
      <c r="B116" s="93" t="s">
        <v>4085</v>
      </c>
      <c r="C116" s="93"/>
      <c r="D116" s="93"/>
      <c r="E116" s="93"/>
      <c r="F116" s="93"/>
      <c r="G116" s="93"/>
      <c r="H116" s="93"/>
      <c r="I116" s="93"/>
      <c r="J116" s="93"/>
      <c r="K116" s="93"/>
      <c r="L116" s="93"/>
    </row>
    <row r="117" spans="1:12" ht="16.5" customHeight="1">
      <c r="B117" s="93"/>
      <c r="C117" s="93"/>
      <c r="D117" s="93"/>
      <c r="E117" s="93"/>
      <c r="F117" s="93"/>
      <c r="G117" s="93"/>
      <c r="H117" s="93"/>
      <c r="I117" s="93"/>
      <c r="J117" s="93"/>
      <c r="K117" s="93"/>
      <c r="L117" s="93"/>
    </row>
    <row r="118" spans="1:12" ht="16.5" customHeight="1">
      <c r="B118" s="518" t="s">
        <v>4086</v>
      </c>
      <c r="C118" s="518"/>
      <c r="D118" s="518"/>
      <c r="E118" s="93"/>
      <c r="F118" s="93"/>
      <c r="G118" s="93"/>
      <c r="H118" s="93"/>
      <c r="I118" s="93"/>
      <c r="J118" s="93"/>
      <c r="K118" s="93"/>
      <c r="L118" s="93"/>
    </row>
    <row r="119" spans="1:12" ht="16.5" customHeight="1">
      <c r="B119" s="137" t="s">
        <v>4088</v>
      </c>
      <c r="C119" s="188" t="s">
        <v>4089</v>
      </c>
      <c r="D119" s="138" t="s">
        <v>4099</v>
      </c>
      <c r="E119" s="93"/>
      <c r="F119" s="518" t="s">
        <v>4100</v>
      </c>
      <c r="G119" s="518"/>
      <c r="H119" s="104" t="s">
        <v>1238</v>
      </c>
      <c r="I119" s="93"/>
      <c r="J119" s="93"/>
      <c r="K119" s="93"/>
      <c r="L119" s="93"/>
    </row>
    <row r="120" spans="1:12" ht="16.5" customHeight="1">
      <c r="B120" s="105">
        <v>10</v>
      </c>
      <c r="C120" s="113">
        <v>0.3</v>
      </c>
      <c r="D120" s="107">
        <v>0.5</v>
      </c>
      <c r="E120" s="93"/>
      <c r="F120" s="93"/>
      <c r="G120" s="93">
        <f>CRITBINOM(B120,C120,D120)</f>
        <v>3</v>
      </c>
      <c r="H120" s="108" t="s">
        <v>4101</v>
      </c>
      <c r="I120" s="93"/>
      <c r="J120" s="93"/>
      <c r="K120" s="93"/>
      <c r="L120" s="93"/>
    </row>
    <row r="121" spans="1:12" ht="16.5" customHeight="1">
      <c r="B121" s="93"/>
      <c r="C121" s="93"/>
      <c r="D121" s="93"/>
      <c r="E121" s="93"/>
      <c r="F121" s="93"/>
      <c r="G121" s="93"/>
      <c r="H121" s="93"/>
      <c r="I121" s="93"/>
      <c r="J121" s="93"/>
      <c r="K121" s="93"/>
      <c r="L121" s="93"/>
    </row>
    <row r="122" spans="1:12">
      <c r="B122" s="93"/>
      <c r="C122" s="93"/>
      <c r="D122" s="93"/>
      <c r="E122" s="93"/>
      <c r="F122" s="93"/>
      <c r="G122" s="93"/>
      <c r="H122" s="93"/>
      <c r="I122" s="93"/>
      <c r="J122" s="93"/>
      <c r="K122" s="93"/>
    </row>
    <row r="123" spans="1:12">
      <c r="B123" s="93"/>
      <c r="C123" s="93"/>
      <c r="D123" s="93"/>
      <c r="E123" s="93" t="s">
        <v>3592</v>
      </c>
      <c r="F123" s="93"/>
      <c r="G123" s="93"/>
      <c r="H123" s="93"/>
      <c r="I123" s="93"/>
      <c r="J123" s="93"/>
      <c r="K123" s="93"/>
    </row>
    <row r="124" spans="1:12">
      <c r="B124" s="93"/>
      <c r="C124" s="93"/>
      <c r="D124" s="93"/>
      <c r="E124" s="93"/>
      <c r="F124" s="93"/>
      <c r="G124" s="93"/>
      <c r="H124" s="93"/>
      <c r="I124" s="93"/>
      <c r="J124" s="93"/>
      <c r="K124" s="93"/>
    </row>
    <row r="200" spans="1:13" s="88" customFormat="1" ht="26.25" customHeight="1">
      <c r="A200" s="498" t="s">
        <v>1038</v>
      </c>
      <c r="B200" s="498"/>
      <c r="C200" s="499"/>
      <c r="D200" s="87"/>
      <c r="E200" s="500" t="str">
        <f>HYPERLINK("#目录!A297","跳转回到目录页")</f>
        <v>跳转回到目录页</v>
      </c>
      <c r="F200" s="501"/>
    </row>
    <row r="201" spans="1:13" s="88" customFormat="1" ht="26.25" customHeight="1">
      <c r="A201" s="502" t="s">
        <v>1216</v>
      </c>
      <c r="B201" s="502"/>
      <c r="C201" s="503" t="s">
        <v>494</v>
      </c>
      <c r="D201" s="503"/>
      <c r="E201" s="503"/>
      <c r="F201" s="503"/>
      <c r="G201" s="503"/>
      <c r="H201" s="503"/>
      <c r="I201" s="503"/>
      <c r="J201" s="503"/>
      <c r="K201" s="503"/>
      <c r="L201" s="503"/>
      <c r="M201" s="503"/>
    </row>
    <row r="202" spans="1:13" s="88" customFormat="1" ht="24.75" customHeight="1">
      <c r="A202" s="496" t="s">
        <v>1217</v>
      </c>
      <c r="B202" s="496"/>
      <c r="C202" s="493" t="s">
        <v>4102</v>
      </c>
      <c r="D202" s="493"/>
      <c r="E202" s="493"/>
      <c r="F202" s="493"/>
      <c r="G202" s="493"/>
      <c r="H202" s="493"/>
      <c r="I202" s="493"/>
      <c r="J202" s="493"/>
      <c r="K202" s="493"/>
      <c r="L202" s="493"/>
      <c r="M202" s="493"/>
    </row>
    <row r="203" spans="1:13" s="88" customFormat="1" ht="16.5" customHeight="1">
      <c r="A203" s="496" t="s">
        <v>5786</v>
      </c>
      <c r="B203" s="496"/>
      <c r="C203" s="497" t="s">
        <v>494</v>
      </c>
      <c r="D203" s="497"/>
      <c r="E203" s="497"/>
      <c r="F203" s="497"/>
      <c r="G203" s="497"/>
      <c r="H203" s="497"/>
      <c r="I203" s="497"/>
      <c r="J203" s="497"/>
      <c r="K203" s="497"/>
      <c r="L203" s="497"/>
      <c r="M203" s="497"/>
    </row>
    <row r="204" spans="1:13" s="88" customFormat="1" ht="16.5" customHeight="1">
      <c r="A204" s="496" t="s">
        <v>1220</v>
      </c>
      <c r="B204" s="496"/>
      <c r="C204" s="493" t="s">
        <v>4103</v>
      </c>
      <c r="D204" s="493"/>
      <c r="E204" s="493"/>
      <c r="F204" s="493"/>
      <c r="G204" s="493"/>
      <c r="H204" s="493"/>
      <c r="I204" s="493"/>
      <c r="J204" s="493"/>
      <c r="K204" s="493"/>
      <c r="L204" s="493"/>
      <c r="M204" s="493"/>
    </row>
    <row r="205" spans="1:13" s="88" customFormat="1" ht="16.5" customHeight="1">
      <c r="A205" s="496" t="s">
        <v>5785</v>
      </c>
      <c r="B205" s="496"/>
      <c r="C205" s="493" t="s">
        <v>4104</v>
      </c>
      <c r="D205" s="493"/>
      <c r="E205" s="493"/>
      <c r="F205" s="493"/>
      <c r="G205" s="493"/>
      <c r="H205" s="493"/>
      <c r="I205" s="493"/>
      <c r="J205" s="493"/>
      <c r="K205" s="493"/>
      <c r="L205" s="493"/>
      <c r="M205" s="493"/>
    </row>
    <row r="206" spans="1:13" s="88" customFormat="1" ht="16.5" customHeight="1">
      <c r="A206" s="89" t="s">
        <v>1223</v>
      </c>
      <c r="B206" s="92" t="s">
        <v>4105</v>
      </c>
      <c r="C206" s="493" t="s">
        <v>4106</v>
      </c>
      <c r="D206" s="493"/>
      <c r="E206" s="493"/>
      <c r="F206" s="493"/>
      <c r="G206" s="493"/>
      <c r="H206" s="493"/>
      <c r="I206" s="493"/>
      <c r="J206" s="493"/>
      <c r="K206" s="493"/>
      <c r="L206" s="493"/>
      <c r="M206" s="493"/>
    </row>
    <row r="207" spans="1:13" s="88" customFormat="1" ht="16.5" customHeight="1">
      <c r="A207" s="89"/>
      <c r="B207" s="92" t="s">
        <v>4076</v>
      </c>
      <c r="C207" s="493" t="s">
        <v>4107</v>
      </c>
      <c r="D207" s="493"/>
      <c r="E207" s="493"/>
      <c r="F207" s="493"/>
      <c r="G207" s="493"/>
      <c r="H207" s="493"/>
      <c r="I207" s="493"/>
      <c r="J207" s="493"/>
      <c r="K207" s="493"/>
      <c r="L207" s="493"/>
      <c r="M207" s="493"/>
    </row>
    <row r="208" spans="1:13" s="88" customFormat="1" ht="24.75" customHeight="1">
      <c r="A208" s="89"/>
      <c r="B208" s="90" t="s">
        <v>4080</v>
      </c>
      <c r="C208" s="493" t="s">
        <v>4108</v>
      </c>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49.5" customHeight="1">
      <c r="A210" s="89" t="s">
        <v>1229</v>
      </c>
      <c r="B210" s="493" t="s">
        <v>4109</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c r="E213" s="4"/>
    </row>
    <row r="214" spans="1:13" ht="16.5" customHeight="1"/>
    <row r="215" spans="1:13" ht="16.5" customHeight="1">
      <c r="B215" s="93"/>
      <c r="C215" s="93"/>
      <c r="D215" s="93"/>
      <c r="E215" s="93"/>
      <c r="F215" s="93"/>
      <c r="G215" s="93"/>
      <c r="H215" s="93"/>
      <c r="I215" s="93"/>
      <c r="J215" s="93"/>
    </row>
    <row r="216" spans="1:13" ht="16.5" customHeight="1">
      <c r="B216" s="93" t="s">
        <v>4085</v>
      </c>
      <c r="C216" s="93"/>
      <c r="D216" s="93"/>
      <c r="E216" s="93"/>
      <c r="F216" s="93"/>
      <c r="G216" s="93"/>
      <c r="H216" s="93"/>
      <c r="I216" s="93"/>
      <c r="J216" s="93"/>
    </row>
    <row r="217" spans="1:13" ht="16.5" customHeight="1">
      <c r="B217" s="93"/>
      <c r="C217" s="93"/>
      <c r="D217" s="93"/>
      <c r="E217" s="93"/>
      <c r="F217" s="93"/>
      <c r="G217" s="93"/>
      <c r="H217" s="93"/>
      <c r="I217" s="93"/>
      <c r="J217" s="93"/>
    </row>
    <row r="218" spans="1:13" ht="16.5" customHeight="1">
      <c r="B218" s="518" t="s">
        <v>4086</v>
      </c>
      <c r="C218" s="518"/>
      <c r="D218" s="518"/>
      <c r="E218" s="93"/>
      <c r="F218" s="93"/>
      <c r="G218" s="93"/>
      <c r="H218" s="93"/>
      <c r="I218" s="93"/>
      <c r="J218" s="93"/>
    </row>
    <row r="219" spans="1:13" ht="16.5" customHeight="1">
      <c r="B219" s="137" t="s">
        <v>4110</v>
      </c>
      <c r="C219" s="188" t="s">
        <v>4111</v>
      </c>
      <c r="D219" s="138" t="s">
        <v>4112</v>
      </c>
      <c r="E219" s="93"/>
      <c r="F219" s="93" t="s">
        <v>4113</v>
      </c>
      <c r="G219" s="93"/>
      <c r="I219" s="93"/>
      <c r="J219" s="93"/>
    </row>
    <row r="220" spans="1:13" ht="16.5" customHeight="1">
      <c r="B220" s="105">
        <v>5</v>
      </c>
      <c r="C220" s="113">
        <v>5</v>
      </c>
      <c r="D220" s="107">
        <v>0.3</v>
      </c>
      <c r="E220" s="93"/>
      <c r="F220" s="93"/>
      <c r="G220" s="93">
        <f>NEGBINOMDIST(B220,C220,D220)</f>
        <v>5.1459672600000006E-2</v>
      </c>
      <c r="I220" s="93"/>
      <c r="J220" s="93"/>
    </row>
    <row r="221" spans="1:13" ht="16.5" customHeight="1">
      <c r="B221" s="93"/>
      <c r="C221" s="93"/>
      <c r="D221" s="93"/>
      <c r="E221" s="93"/>
      <c r="F221" s="104" t="s">
        <v>1238</v>
      </c>
      <c r="G221" s="108" t="s">
        <v>4114</v>
      </c>
      <c r="H221" s="93"/>
      <c r="I221" s="93"/>
      <c r="J221" s="93"/>
    </row>
    <row r="222" spans="1:13" ht="16.5" customHeight="1"/>
    <row r="223" spans="1:13" ht="16.5" customHeight="1"/>
    <row r="300" spans="1:13" s="88" customFormat="1" ht="26.25" customHeight="1">
      <c r="A300" s="498" t="s">
        <v>923</v>
      </c>
      <c r="B300" s="498"/>
      <c r="C300" s="499"/>
      <c r="D300" s="87"/>
      <c r="E300" s="500" t="str">
        <f>HYPERLINK("#目录!A299","跳转回到目录页")</f>
        <v>跳转回到目录页</v>
      </c>
      <c r="F300" s="501"/>
    </row>
    <row r="301" spans="1:13" s="88" customFormat="1" ht="26.25" customHeight="1">
      <c r="A301" s="502" t="s">
        <v>1216</v>
      </c>
      <c r="B301" s="502"/>
      <c r="C301" s="503" t="s">
        <v>495</v>
      </c>
      <c r="D301" s="503"/>
      <c r="E301" s="503"/>
      <c r="F301" s="503"/>
      <c r="G301" s="503"/>
      <c r="H301" s="503"/>
      <c r="I301" s="503"/>
      <c r="J301" s="503"/>
      <c r="K301" s="503"/>
      <c r="L301" s="503"/>
      <c r="M301" s="503"/>
    </row>
    <row r="302" spans="1:13" s="88" customFormat="1" ht="24.75" customHeight="1">
      <c r="A302" s="496" t="s">
        <v>1217</v>
      </c>
      <c r="B302" s="496"/>
      <c r="C302" s="493" t="s">
        <v>4115</v>
      </c>
      <c r="D302" s="493"/>
      <c r="E302" s="493"/>
      <c r="F302" s="493"/>
      <c r="G302" s="493"/>
      <c r="H302" s="493"/>
      <c r="I302" s="493"/>
      <c r="J302" s="493"/>
      <c r="K302" s="493"/>
      <c r="L302" s="493"/>
      <c r="M302" s="493"/>
    </row>
    <row r="303" spans="1:13" s="88" customFormat="1" ht="16.5" customHeight="1">
      <c r="A303" s="496" t="s">
        <v>5786</v>
      </c>
      <c r="B303" s="496"/>
      <c r="C303" s="497" t="s">
        <v>495</v>
      </c>
      <c r="D303" s="497"/>
      <c r="E303" s="497"/>
      <c r="F303" s="497"/>
      <c r="G303" s="497"/>
      <c r="H303" s="497"/>
      <c r="I303" s="497"/>
      <c r="J303" s="497"/>
      <c r="K303" s="497"/>
      <c r="L303" s="497"/>
      <c r="M303" s="497"/>
    </row>
    <row r="304" spans="1:13" s="88" customFormat="1" ht="16.5" customHeight="1">
      <c r="A304" s="496" t="s">
        <v>1220</v>
      </c>
      <c r="B304" s="496"/>
      <c r="C304" s="493" t="s">
        <v>4116</v>
      </c>
      <c r="D304" s="493"/>
      <c r="E304" s="493"/>
      <c r="F304" s="493"/>
      <c r="G304" s="493"/>
      <c r="H304" s="493"/>
      <c r="I304" s="493"/>
      <c r="J304" s="493"/>
      <c r="K304" s="493"/>
      <c r="L304" s="493"/>
      <c r="M304" s="493"/>
    </row>
    <row r="305" spans="1:13" s="88" customFormat="1" ht="16.5" customHeight="1">
      <c r="A305" s="496" t="s">
        <v>5785</v>
      </c>
      <c r="B305" s="496"/>
      <c r="C305" s="493" t="s">
        <v>4117</v>
      </c>
      <c r="D305" s="493"/>
      <c r="E305" s="493"/>
      <c r="F305" s="493"/>
      <c r="G305" s="493"/>
      <c r="H305" s="493"/>
      <c r="I305" s="493"/>
      <c r="J305" s="493"/>
      <c r="K305" s="493"/>
      <c r="L305" s="493"/>
      <c r="M305" s="493"/>
    </row>
    <row r="306" spans="1:13" s="88" customFormat="1" ht="16.5" customHeight="1">
      <c r="A306" s="89" t="s">
        <v>1223</v>
      </c>
      <c r="B306" s="92" t="s">
        <v>4118</v>
      </c>
      <c r="C306" s="493" t="s">
        <v>4119</v>
      </c>
      <c r="D306" s="493"/>
      <c r="E306" s="493"/>
      <c r="F306" s="493"/>
      <c r="G306" s="493"/>
      <c r="H306" s="493"/>
      <c r="I306" s="493"/>
      <c r="J306" s="493"/>
      <c r="K306" s="493"/>
      <c r="L306" s="493"/>
      <c r="M306" s="493"/>
    </row>
    <row r="307" spans="1:13" s="88" customFormat="1" ht="24.75" customHeight="1">
      <c r="A307" s="89"/>
      <c r="B307" s="92" t="s">
        <v>4120</v>
      </c>
      <c r="C307" s="509" t="s">
        <v>4045</v>
      </c>
      <c r="D307" s="509"/>
      <c r="E307" s="509"/>
      <c r="F307" s="509"/>
      <c r="G307" s="509"/>
      <c r="H307" s="509"/>
      <c r="I307" s="509"/>
      <c r="J307" s="509"/>
      <c r="K307" s="509"/>
      <c r="L307" s="509"/>
      <c r="M307" s="509"/>
    </row>
    <row r="308" spans="1:13" s="88" customFormat="1" ht="24.75" customHeight="1">
      <c r="A308" s="89"/>
      <c r="B308" s="92" t="s">
        <v>4121</v>
      </c>
      <c r="C308" s="493" t="s">
        <v>4122</v>
      </c>
      <c r="D308" s="493"/>
      <c r="E308" s="493"/>
      <c r="F308" s="493"/>
      <c r="G308" s="493"/>
      <c r="H308" s="493"/>
      <c r="I308" s="493"/>
      <c r="J308" s="493"/>
      <c r="K308" s="493"/>
      <c r="L308" s="493"/>
      <c r="M308" s="493"/>
    </row>
    <row r="309" spans="1:13" s="88" customFormat="1" ht="24.75" customHeight="1">
      <c r="A309" s="89"/>
      <c r="B309" s="90" t="s">
        <v>4123</v>
      </c>
      <c r="C309" s="493" t="s">
        <v>4124</v>
      </c>
      <c r="D309" s="493"/>
      <c r="E309" s="493"/>
      <c r="F309" s="493"/>
      <c r="G309" s="493"/>
      <c r="H309" s="493"/>
      <c r="I309" s="493"/>
      <c r="J309" s="493"/>
      <c r="K309" s="493"/>
      <c r="L309" s="493"/>
      <c r="M309" s="493"/>
    </row>
    <row r="310" spans="1:13" s="88" customFormat="1" ht="16.5" customHeight="1">
      <c r="A310" s="89" t="s">
        <v>1228</v>
      </c>
      <c r="B310" s="493"/>
      <c r="C310" s="493"/>
      <c r="D310" s="493"/>
      <c r="E310" s="493"/>
      <c r="F310" s="493"/>
      <c r="G310" s="493"/>
      <c r="H310" s="493"/>
      <c r="I310" s="493"/>
      <c r="J310" s="493"/>
      <c r="K310" s="493"/>
      <c r="L310" s="493"/>
      <c r="M310" s="493"/>
    </row>
    <row r="311" spans="1:13" ht="87.75" customHeight="1">
      <c r="A311" s="89" t="s">
        <v>1229</v>
      </c>
      <c r="B311" s="493" t="s">
        <v>4125</v>
      </c>
      <c r="C311" s="493"/>
      <c r="D311" s="493"/>
      <c r="E311" s="493"/>
      <c r="F311" s="493"/>
      <c r="G311" s="493"/>
      <c r="H311" s="493"/>
      <c r="I311" s="493"/>
      <c r="J311" s="493"/>
      <c r="K311" s="493"/>
      <c r="L311" s="493"/>
      <c r="M311" s="493"/>
    </row>
    <row r="312" spans="1:13" ht="21" customHeight="1">
      <c r="B312" s="494" t="s">
        <v>2863</v>
      </c>
      <c r="C312" s="494"/>
      <c r="D312" s="494"/>
      <c r="E312" s="494"/>
      <c r="F312" s="494"/>
      <c r="G312" s="494"/>
      <c r="H312" s="494"/>
      <c r="I312" s="494"/>
      <c r="J312" s="494"/>
      <c r="K312" s="494"/>
      <c r="L312" s="495"/>
    </row>
    <row r="313" spans="1:13" s="93" customFormat="1" ht="16.5" customHeight="1"/>
    <row r="314" spans="1:13" s="93" customFormat="1" ht="16.5" customHeight="1">
      <c r="A314" s="94" t="s">
        <v>1232</v>
      </c>
      <c r="B314" s="93" t="s">
        <v>1773</v>
      </c>
      <c r="E314" s="4"/>
    </row>
    <row r="315" spans="1:13" ht="16.5" customHeight="1"/>
    <row r="316" spans="1:13" ht="16.5" customHeight="1">
      <c r="B316" s="93"/>
      <c r="C316" s="93"/>
      <c r="D316" s="93"/>
      <c r="E316" s="93"/>
      <c r="F316" s="93"/>
      <c r="G316" s="93"/>
      <c r="H316" s="93"/>
      <c r="I316" s="93"/>
      <c r="J316" s="93"/>
      <c r="K316" s="93"/>
    </row>
    <row r="317" spans="1:13" ht="16.5" customHeight="1">
      <c r="B317" s="518" t="s">
        <v>4126</v>
      </c>
      <c r="C317" s="518"/>
      <c r="D317" s="518"/>
      <c r="E317" s="518"/>
      <c r="F317" s="93"/>
      <c r="H317" s="93"/>
      <c r="I317" s="93"/>
      <c r="J317" s="93"/>
      <c r="K317" s="93"/>
    </row>
    <row r="318" spans="1:13" ht="16.5" customHeight="1">
      <c r="B318" s="95" t="s">
        <v>4127</v>
      </c>
      <c r="C318" s="96" t="s">
        <v>4128</v>
      </c>
      <c r="D318" s="96" t="s">
        <v>4129</v>
      </c>
      <c r="E318" s="97" t="s">
        <v>4130</v>
      </c>
      <c r="F318" s="93"/>
      <c r="G318" s="93" t="s">
        <v>4131</v>
      </c>
      <c r="H318" s="93"/>
      <c r="I318" s="104" t="s">
        <v>1238</v>
      </c>
      <c r="J318" s="93"/>
      <c r="K318" s="93"/>
    </row>
    <row r="319" spans="1:13" ht="16.5" customHeight="1">
      <c r="B319" s="105">
        <v>4</v>
      </c>
      <c r="C319" s="113">
        <v>10</v>
      </c>
      <c r="D319" s="113">
        <v>214</v>
      </c>
      <c r="E319" s="107">
        <v>500</v>
      </c>
      <c r="F319" s="93"/>
      <c r="G319" s="93"/>
      <c r="H319" s="93">
        <f>HYPGEOMDIST(B319,C319,D319,E319)</f>
        <v>0.24919450687626854</v>
      </c>
      <c r="I319" s="108" t="s">
        <v>4132</v>
      </c>
      <c r="J319" s="93"/>
      <c r="K319" s="93"/>
    </row>
    <row r="320" spans="1:13" ht="16.5" customHeight="1">
      <c r="B320" s="93"/>
      <c r="C320" s="93"/>
      <c r="D320" s="93"/>
      <c r="E320" s="93"/>
      <c r="F320" s="93"/>
      <c r="G320" s="93"/>
      <c r="H320" s="93"/>
      <c r="I320" s="93"/>
      <c r="J320" s="93"/>
      <c r="K320" s="93"/>
    </row>
    <row r="321" spans="2:11" ht="16.5" customHeight="1">
      <c r="B321" s="93"/>
      <c r="C321" s="93"/>
      <c r="D321" s="93"/>
      <c r="E321" s="93"/>
      <c r="F321" s="93"/>
      <c r="G321" s="93"/>
      <c r="H321" s="93"/>
      <c r="I321" s="93"/>
      <c r="J321" s="93"/>
      <c r="K321" s="93"/>
    </row>
    <row r="322" spans="2:11" ht="16.5" customHeight="1">
      <c r="B322" s="93"/>
      <c r="C322" s="93"/>
      <c r="D322" s="93"/>
      <c r="E322" s="93"/>
      <c r="F322" s="93"/>
      <c r="G322" s="93"/>
      <c r="H322" s="93"/>
      <c r="I322" s="93"/>
      <c r="J322" s="93"/>
      <c r="K322" s="93"/>
    </row>
    <row r="323" spans="2:11">
      <c r="B323" s="93"/>
      <c r="C323" s="93"/>
      <c r="D323" s="93"/>
      <c r="E323" s="93"/>
      <c r="F323" s="93"/>
      <c r="G323" s="93"/>
      <c r="H323" s="93"/>
      <c r="I323" s="93"/>
      <c r="J323" s="93"/>
      <c r="K323" s="93"/>
    </row>
    <row r="324" spans="2:11">
      <c r="B324" s="93"/>
      <c r="C324" s="93"/>
      <c r="D324" s="93"/>
      <c r="E324" s="93"/>
      <c r="F324" s="93"/>
      <c r="G324" s="93"/>
      <c r="H324" s="93"/>
      <c r="I324" s="93"/>
      <c r="J324" s="93"/>
      <c r="K324" s="93"/>
    </row>
    <row r="400" spans="1:6" s="88" customFormat="1" ht="26.25" customHeight="1">
      <c r="A400" s="498" t="s">
        <v>496</v>
      </c>
      <c r="B400" s="498"/>
      <c r="C400" s="499"/>
      <c r="D400" s="87"/>
      <c r="E400" s="500" t="str">
        <f>HYPERLINK("#目录!A301","跳转回到目录页")</f>
        <v>跳转回到目录页</v>
      </c>
      <c r="F400" s="501"/>
    </row>
    <row r="401" spans="1:13" s="88" customFormat="1" ht="26.25" customHeight="1">
      <c r="A401" s="502" t="s">
        <v>1216</v>
      </c>
      <c r="B401" s="502"/>
      <c r="C401" s="503" t="s">
        <v>497</v>
      </c>
      <c r="D401" s="503"/>
      <c r="E401" s="503"/>
      <c r="F401" s="503"/>
      <c r="G401" s="503"/>
      <c r="H401" s="503"/>
      <c r="I401" s="503"/>
      <c r="J401" s="503"/>
      <c r="K401" s="503"/>
      <c r="L401" s="503"/>
      <c r="M401" s="503"/>
    </row>
    <row r="402" spans="1:13" s="88" customFormat="1" ht="16.5" customHeight="1">
      <c r="A402" s="496" t="s">
        <v>1217</v>
      </c>
      <c r="B402" s="496"/>
      <c r="C402" s="493" t="s">
        <v>4133</v>
      </c>
      <c r="D402" s="493"/>
      <c r="E402" s="493"/>
      <c r="F402" s="493"/>
      <c r="G402" s="493"/>
      <c r="H402" s="493"/>
      <c r="I402" s="493"/>
      <c r="J402" s="493"/>
      <c r="K402" s="493"/>
      <c r="L402" s="493"/>
      <c r="M402" s="493"/>
    </row>
    <row r="403" spans="1:13" s="88" customFormat="1" ht="16.5" customHeight="1">
      <c r="A403" s="496" t="s">
        <v>5786</v>
      </c>
      <c r="B403" s="496"/>
      <c r="C403" s="497" t="s">
        <v>497</v>
      </c>
      <c r="D403" s="497"/>
      <c r="E403" s="497"/>
      <c r="F403" s="497"/>
      <c r="G403" s="497"/>
      <c r="H403" s="497"/>
      <c r="I403" s="497"/>
      <c r="J403" s="497"/>
      <c r="K403" s="497"/>
      <c r="L403" s="497"/>
      <c r="M403" s="497"/>
    </row>
    <row r="404" spans="1:13" s="88" customFormat="1" ht="16.5" customHeight="1">
      <c r="A404" s="496" t="s">
        <v>1220</v>
      </c>
      <c r="B404" s="496"/>
      <c r="C404" s="493" t="s">
        <v>4134</v>
      </c>
      <c r="D404" s="493"/>
      <c r="E404" s="493"/>
      <c r="F404" s="493"/>
      <c r="G404" s="493"/>
      <c r="H404" s="493"/>
      <c r="I404" s="493"/>
      <c r="J404" s="493"/>
      <c r="K404" s="493"/>
      <c r="L404" s="493"/>
      <c r="M404" s="493"/>
    </row>
    <row r="405" spans="1:13" s="88" customFormat="1" ht="16.5" customHeight="1">
      <c r="A405" s="496" t="s">
        <v>5785</v>
      </c>
      <c r="B405" s="496"/>
      <c r="C405" s="493" t="s">
        <v>4135</v>
      </c>
      <c r="D405" s="493"/>
      <c r="E405" s="493"/>
      <c r="F405" s="493"/>
      <c r="G405" s="493"/>
      <c r="H405" s="493"/>
      <c r="I405" s="493"/>
      <c r="J405" s="493"/>
      <c r="K405" s="493"/>
      <c r="L405" s="493"/>
      <c r="M405" s="493"/>
    </row>
    <row r="406" spans="1:13" s="88" customFormat="1" ht="16.5" customHeight="1">
      <c r="A406" s="89" t="s">
        <v>1223</v>
      </c>
      <c r="B406" s="92" t="s">
        <v>2418</v>
      </c>
      <c r="C406" s="493" t="s">
        <v>4136</v>
      </c>
      <c r="D406" s="493"/>
      <c r="E406" s="493"/>
      <c r="F406" s="493"/>
      <c r="G406" s="493"/>
      <c r="H406" s="493"/>
      <c r="I406" s="493"/>
      <c r="J406" s="493"/>
      <c r="K406" s="493"/>
      <c r="L406" s="493"/>
      <c r="M406" s="493"/>
    </row>
    <row r="407" spans="1:13" s="88" customFormat="1" ht="16.5" customHeight="1">
      <c r="A407" s="89"/>
      <c r="B407" s="92" t="s">
        <v>3900</v>
      </c>
      <c r="C407" s="493" t="s">
        <v>4137</v>
      </c>
      <c r="D407" s="493"/>
      <c r="E407" s="493"/>
      <c r="F407" s="493"/>
      <c r="G407" s="493"/>
      <c r="H407" s="493"/>
      <c r="I407" s="493"/>
      <c r="J407" s="493"/>
      <c r="K407" s="493"/>
      <c r="L407" s="493"/>
      <c r="M407" s="493"/>
    </row>
    <row r="408" spans="1:13" s="88" customFormat="1" ht="24.75" customHeight="1">
      <c r="A408" s="89"/>
      <c r="B408" s="90" t="s">
        <v>4082</v>
      </c>
      <c r="C408" s="493" t="s">
        <v>4138</v>
      </c>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50.25" customHeight="1">
      <c r="A410" s="89" t="s">
        <v>1229</v>
      </c>
      <c r="B410" s="493" t="s">
        <v>4139</v>
      </c>
      <c r="C410" s="493"/>
      <c r="D410" s="493"/>
      <c r="E410" s="493"/>
      <c r="F410" s="493"/>
      <c r="G410" s="493"/>
      <c r="H410" s="493"/>
      <c r="I410" s="493"/>
      <c r="J410" s="493"/>
      <c r="K410" s="493"/>
      <c r="L410" s="493"/>
      <c r="M410" s="493"/>
    </row>
    <row r="411" spans="1:13" ht="21" customHeight="1">
      <c r="B411" s="494" t="s">
        <v>2863</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4" spans="1:13" ht="16.5" customHeight="1">
      <c r="B414" s="93"/>
      <c r="C414" s="93"/>
      <c r="D414" s="93"/>
      <c r="E414" s="93"/>
      <c r="F414" s="93"/>
      <c r="G414" s="93"/>
      <c r="H414" s="93"/>
      <c r="I414" s="93"/>
      <c r="J414" s="93"/>
      <c r="K414" s="93"/>
    </row>
    <row r="415" spans="1:13" ht="16.5" customHeight="1">
      <c r="B415" s="93"/>
      <c r="C415" s="93"/>
      <c r="D415" s="93"/>
      <c r="E415" s="93"/>
      <c r="F415" s="93"/>
      <c r="G415" s="93"/>
      <c r="H415" s="93"/>
      <c r="I415" s="93"/>
      <c r="J415" s="93"/>
      <c r="K415" s="93"/>
    </row>
    <row r="416" spans="1:13" ht="16.5" customHeight="1">
      <c r="B416" s="93" t="s">
        <v>4140</v>
      </c>
      <c r="C416" s="93"/>
      <c r="D416" s="93"/>
      <c r="E416" s="93"/>
      <c r="F416" s="93"/>
      <c r="G416" s="93"/>
      <c r="H416" s="93"/>
      <c r="I416" s="93"/>
      <c r="J416" s="93"/>
      <c r="K416" s="93"/>
    </row>
    <row r="417" spans="2:11" ht="16.5" customHeight="1">
      <c r="B417" s="187" t="s">
        <v>4141</v>
      </c>
      <c r="C417" s="97"/>
      <c r="D417" s="93"/>
      <c r="E417" s="93"/>
      <c r="F417" s="93"/>
      <c r="G417" s="93"/>
      <c r="H417" s="93"/>
      <c r="I417" s="93"/>
      <c r="J417" s="93"/>
      <c r="K417" s="93"/>
    </row>
    <row r="418" spans="2:11" ht="16.5" customHeight="1">
      <c r="B418" s="105"/>
      <c r="C418" s="107">
        <v>4</v>
      </c>
      <c r="D418" s="93"/>
      <c r="E418" s="93"/>
      <c r="F418" s="93"/>
      <c r="G418" s="93"/>
      <c r="H418" s="93"/>
      <c r="I418" s="93"/>
      <c r="J418" s="93"/>
      <c r="K418" s="93"/>
    </row>
    <row r="419" spans="2:11" ht="16.5" customHeight="1">
      <c r="B419" s="93"/>
      <c r="C419" s="93"/>
      <c r="D419" s="93"/>
      <c r="E419" s="93"/>
      <c r="F419" s="93"/>
      <c r="G419" s="93"/>
      <c r="H419" s="93"/>
      <c r="I419" s="93"/>
      <c r="J419" s="93"/>
      <c r="K419" s="93"/>
    </row>
    <row r="420" spans="2:11" ht="16.5" customHeight="1">
      <c r="B420" s="95" t="s">
        <v>4142</v>
      </c>
      <c r="C420" s="97" t="s">
        <v>4069</v>
      </c>
      <c r="D420" s="104" t="s">
        <v>1238</v>
      </c>
      <c r="E420" s="93"/>
      <c r="F420" s="93"/>
      <c r="G420" s="93"/>
      <c r="H420" s="93"/>
      <c r="I420" s="93"/>
      <c r="J420" s="93"/>
      <c r="K420" s="93"/>
    </row>
    <row r="421" spans="2:11" ht="16.5" customHeight="1">
      <c r="B421" s="105">
        <v>5</v>
      </c>
      <c r="C421" s="107">
        <f>POISSON(B421,C418,0)</f>
        <v>0.1562934518505317</v>
      </c>
      <c r="D421" s="108" t="s">
        <v>4143</v>
      </c>
      <c r="E421" s="93"/>
      <c r="F421" s="93"/>
      <c r="G421" s="93"/>
      <c r="H421" s="93"/>
      <c r="I421" s="93"/>
      <c r="J421" s="93"/>
      <c r="K421" s="93"/>
    </row>
    <row r="422" spans="2:11">
      <c r="B422" s="93"/>
      <c r="C422" s="93"/>
      <c r="D422" s="93"/>
      <c r="E422" s="93"/>
      <c r="F422" s="93"/>
      <c r="G422" s="93"/>
      <c r="H422" s="93"/>
      <c r="I422" s="93"/>
      <c r="J422" s="93"/>
      <c r="K422" s="93"/>
    </row>
    <row r="500" spans="1:13" s="88" customFormat="1" ht="26.25" customHeight="1">
      <c r="A500" s="498" t="s">
        <v>499</v>
      </c>
      <c r="B500" s="498"/>
      <c r="C500" s="499"/>
      <c r="D500" s="87"/>
      <c r="E500" s="500" t="str">
        <f>HYPERLINK("#目录!A303","跳转回到目录页")</f>
        <v>跳转回到目录页</v>
      </c>
      <c r="F500" s="501"/>
    </row>
    <row r="501" spans="1:13" s="88" customFormat="1" ht="26.25" customHeight="1">
      <c r="A501" s="502" t="s">
        <v>1216</v>
      </c>
      <c r="B501" s="502"/>
      <c r="C501" s="503" t="s">
        <v>500</v>
      </c>
      <c r="D501" s="503"/>
      <c r="E501" s="503"/>
      <c r="F501" s="503"/>
      <c r="G501" s="503"/>
      <c r="H501" s="503"/>
      <c r="I501" s="503"/>
      <c r="J501" s="503"/>
      <c r="K501" s="503"/>
      <c r="L501" s="503"/>
      <c r="M501" s="503"/>
    </row>
    <row r="502" spans="1:13" s="88" customFormat="1" ht="16.5" customHeight="1">
      <c r="A502" s="496" t="s">
        <v>1217</v>
      </c>
      <c r="B502" s="496"/>
      <c r="C502" s="493" t="s">
        <v>4144</v>
      </c>
      <c r="D502" s="493"/>
      <c r="E502" s="493"/>
      <c r="F502" s="493"/>
      <c r="G502" s="493"/>
      <c r="H502" s="493"/>
      <c r="I502" s="493"/>
      <c r="J502" s="493"/>
      <c r="K502" s="493"/>
      <c r="L502" s="493"/>
      <c r="M502" s="493"/>
    </row>
    <row r="503" spans="1:13" s="88" customFormat="1" ht="16.5" customHeight="1">
      <c r="A503" s="496" t="s">
        <v>5786</v>
      </c>
      <c r="B503" s="496"/>
      <c r="C503" s="497" t="s">
        <v>500</v>
      </c>
      <c r="D503" s="497"/>
      <c r="E503" s="497"/>
      <c r="F503" s="497"/>
      <c r="G503" s="497"/>
      <c r="H503" s="497"/>
      <c r="I503" s="497"/>
      <c r="J503" s="497"/>
      <c r="K503" s="497"/>
      <c r="L503" s="497"/>
      <c r="M503" s="497"/>
    </row>
    <row r="504" spans="1:13" s="88" customFormat="1" ht="16.5" customHeight="1">
      <c r="A504" s="496" t="s">
        <v>1220</v>
      </c>
      <c r="B504" s="496"/>
      <c r="C504" s="493" t="s">
        <v>4145</v>
      </c>
      <c r="D504" s="493"/>
      <c r="E504" s="493"/>
      <c r="F504" s="493"/>
      <c r="G504" s="493"/>
      <c r="H504" s="493"/>
      <c r="I504" s="493"/>
      <c r="J504" s="493"/>
      <c r="K504" s="493"/>
      <c r="L504" s="493"/>
      <c r="M504" s="493"/>
    </row>
    <row r="505" spans="1:13" s="88" customFormat="1" ht="16.5" customHeight="1">
      <c r="A505" s="496" t="s">
        <v>5785</v>
      </c>
      <c r="B505" s="496"/>
      <c r="C505" s="493" t="s">
        <v>4146</v>
      </c>
      <c r="D505" s="493"/>
      <c r="E505" s="493"/>
      <c r="F505" s="493"/>
      <c r="G505" s="493"/>
      <c r="H505" s="493"/>
      <c r="I505" s="493"/>
      <c r="J505" s="493"/>
      <c r="K505" s="493"/>
      <c r="L505" s="493"/>
      <c r="M505" s="493"/>
    </row>
    <row r="506" spans="1:13" s="88" customFormat="1" ht="16.5" customHeight="1">
      <c r="A506" s="89" t="s">
        <v>1223</v>
      </c>
      <c r="B506" s="92" t="s">
        <v>2418</v>
      </c>
      <c r="C506" s="493" t="s">
        <v>4147</v>
      </c>
      <c r="D506" s="493"/>
      <c r="E506" s="493"/>
      <c r="F506" s="493"/>
      <c r="G506" s="493"/>
      <c r="H506" s="493"/>
      <c r="I506" s="493"/>
      <c r="J506" s="493"/>
      <c r="K506" s="493"/>
      <c r="L506" s="493"/>
      <c r="M506" s="493"/>
    </row>
    <row r="507" spans="1:13" s="88" customFormat="1" ht="16.5" customHeight="1">
      <c r="A507" s="89"/>
      <c r="B507" s="92" t="s">
        <v>3900</v>
      </c>
      <c r="C507" s="509" t="s">
        <v>3901</v>
      </c>
      <c r="D507" s="509"/>
      <c r="E507" s="509"/>
      <c r="F507" s="509"/>
      <c r="G507" s="509"/>
      <c r="H507" s="509"/>
      <c r="I507" s="509"/>
      <c r="J507" s="509"/>
      <c r="K507" s="509"/>
      <c r="L507" s="509"/>
      <c r="M507" s="509"/>
    </row>
    <row r="508" spans="1:13" s="88" customFormat="1" ht="24.75" customHeight="1">
      <c r="A508" s="89"/>
      <c r="B508" s="92" t="s">
        <v>3902</v>
      </c>
      <c r="C508" s="493" t="s">
        <v>3903</v>
      </c>
      <c r="D508" s="493"/>
      <c r="E508" s="493"/>
      <c r="F508" s="493"/>
      <c r="G508" s="493"/>
      <c r="H508" s="493"/>
      <c r="I508" s="493"/>
      <c r="J508" s="493"/>
      <c r="K508" s="493"/>
      <c r="L508" s="493"/>
      <c r="M508" s="493"/>
    </row>
    <row r="509" spans="1:13" s="88" customFormat="1" ht="16.5" customHeight="1">
      <c r="A509" s="89"/>
      <c r="B509" s="90" t="s">
        <v>4082</v>
      </c>
      <c r="C509" s="493" t="s">
        <v>4148</v>
      </c>
      <c r="D509" s="493"/>
      <c r="E509" s="493"/>
      <c r="F509" s="493"/>
      <c r="G509" s="493"/>
      <c r="H509" s="493"/>
      <c r="I509" s="493"/>
      <c r="J509" s="493"/>
      <c r="K509" s="493"/>
      <c r="L509" s="493"/>
      <c r="M509" s="493"/>
    </row>
    <row r="510" spans="1:13" s="88" customFormat="1" ht="16.5" customHeight="1">
      <c r="A510" s="89" t="s">
        <v>1228</v>
      </c>
      <c r="B510" s="493"/>
      <c r="C510" s="493"/>
      <c r="D510" s="493"/>
      <c r="E510" s="493"/>
      <c r="F510" s="493"/>
      <c r="G510" s="493"/>
      <c r="H510" s="493"/>
      <c r="I510" s="493"/>
      <c r="J510" s="493"/>
      <c r="K510" s="493"/>
      <c r="L510" s="493"/>
      <c r="M510" s="493"/>
    </row>
    <row r="511" spans="1:13" ht="37.5" customHeight="1">
      <c r="A511" s="89" t="s">
        <v>1229</v>
      </c>
      <c r="B511" s="493" t="s">
        <v>4149</v>
      </c>
      <c r="C511" s="493"/>
      <c r="D511" s="493"/>
      <c r="E511" s="493"/>
      <c r="F511" s="493"/>
      <c r="G511" s="493"/>
      <c r="H511" s="493"/>
      <c r="I511" s="493"/>
      <c r="J511" s="493"/>
      <c r="K511" s="493"/>
      <c r="L511" s="493"/>
      <c r="M511" s="493"/>
    </row>
    <row r="512" spans="1:13" ht="21" customHeight="1">
      <c r="B512" s="494" t="s">
        <v>2863</v>
      </c>
      <c r="C512" s="494"/>
      <c r="D512" s="494"/>
      <c r="E512" s="494"/>
      <c r="F512" s="494"/>
      <c r="G512" s="494"/>
      <c r="H512" s="494"/>
      <c r="I512" s="494"/>
      <c r="J512" s="494"/>
      <c r="K512" s="494"/>
      <c r="L512" s="495"/>
    </row>
    <row r="513" spans="1:9" s="93" customFormat="1" ht="16.5" customHeight="1"/>
    <row r="514" spans="1:9" s="93" customFormat="1" ht="16.5" customHeight="1">
      <c r="A514" s="94" t="s">
        <v>1232</v>
      </c>
      <c r="B514" s="93" t="s">
        <v>1773</v>
      </c>
      <c r="E514" s="4" t="s">
        <v>3592</v>
      </c>
    </row>
    <row r="515" spans="1:9" ht="16.5" customHeight="1">
      <c r="B515" s="93"/>
      <c r="C515" s="93"/>
      <c r="D515" s="93"/>
      <c r="E515" s="93"/>
      <c r="F515" s="93"/>
      <c r="G515" s="93"/>
      <c r="H515" s="93"/>
      <c r="I515" s="93"/>
    </row>
    <row r="516" spans="1:9" ht="16.5" customHeight="1">
      <c r="B516" s="93"/>
      <c r="C516" s="93"/>
      <c r="D516" s="93"/>
      <c r="E516" s="93"/>
      <c r="F516" s="93"/>
      <c r="G516" s="93"/>
      <c r="H516" s="93"/>
      <c r="I516" s="93"/>
    </row>
    <row r="517" spans="1:9" ht="16.5" customHeight="1">
      <c r="B517" s="93" t="s">
        <v>4150</v>
      </c>
      <c r="C517" s="93"/>
      <c r="D517" s="93"/>
      <c r="E517" s="93"/>
      <c r="F517" s="93"/>
      <c r="G517" s="93"/>
      <c r="H517" s="93"/>
      <c r="I517" s="93"/>
    </row>
    <row r="518" spans="1:9" ht="16.5" customHeight="1">
      <c r="B518" s="95" t="s">
        <v>4151</v>
      </c>
      <c r="C518" s="96" t="s">
        <v>3594</v>
      </c>
      <c r="D518" s="96" t="s">
        <v>3863</v>
      </c>
      <c r="E518" s="97" t="s">
        <v>4069</v>
      </c>
      <c r="F518" s="104" t="s">
        <v>1238</v>
      </c>
      <c r="G518" s="93"/>
      <c r="H518" s="93"/>
      <c r="I518" s="93"/>
    </row>
    <row r="519" spans="1:9" ht="16.5" customHeight="1">
      <c r="B519" s="105">
        <v>80</v>
      </c>
      <c r="C519" s="113">
        <v>60</v>
      </c>
      <c r="D519" s="113">
        <v>10</v>
      </c>
      <c r="E519" s="107">
        <f>NORMDIST(B519,C519,D519,0)</f>
        <v>5.3990966513188061E-3</v>
      </c>
      <c r="F519" s="108" t="s">
        <v>4152</v>
      </c>
      <c r="G519" s="93"/>
      <c r="H519" s="93"/>
      <c r="I519" s="93"/>
    </row>
    <row r="520" spans="1:9" ht="16.5" customHeight="1">
      <c r="B520" s="93"/>
      <c r="C520" s="93"/>
      <c r="D520" s="93"/>
      <c r="E520" s="93"/>
      <c r="F520" s="93"/>
      <c r="G520" s="93"/>
      <c r="H520" s="93"/>
      <c r="I520" s="93"/>
    </row>
    <row r="521" spans="1:9" ht="16.5" customHeight="1">
      <c r="B521" s="93"/>
      <c r="C521" s="93"/>
      <c r="D521" s="93"/>
      <c r="E521" s="93"/>
      <c r="F521" s="93"/>
      <c r="G521" s="93"/>
      <c r="H521" s="93"/>
      <c r="I521" s="93"/>
    </row>
    <row r="522" spans="1:9" ht="16.5" customHeight="1"/>
    <row r="600" spans="1:13" s="88" customFormat="1" ht="26.25" customHeight="1">
      <c r="A600" s="498" t="s">
        <v>501</v>
      </c>
      <c r="B600" s="498"/>
      <c r="C600" s="499"/>
      <c r="D600" s="87"/>
      <c r="E600" s="500" t="str">
        <f>HYPERLINK("#目录!A304","跳转回到目录页")</f>
        <v>跳转回到目录页</v>
      </c>
      <c r="F600" s="501"/>
    </row>
    <row r="601" spans="1:13" s="88" customFormat="1" ht="26.25" customHeight="1">
      <c r="A601" s="502" t="s">
        <v>1216</v>
      </c>
      <c r="B601" s="502"/>
      <c r="C601" s="503" t="s">
        <v>502</v>
      </c>
      <c r="D601" s="503"/>
      <c r="E601" s="503"/>
      <c r="F601" s="503"/>
      <c r="G601" s="503"/>
      <c r="H601" s="503"/>
      <c r="I601" s="503"/>
      <c r="J601" s="503"/>
      <c r="K601" s="503"/>
      <c r="L601" s="503"/>
      <c r="M601" s="503"/>
    </row>
    <row r="602" spans="1:13" s="88" customFormat="1" ht="16.5" customHeight="1">
      <c r="A602" s="496" t="s">
        <v>1217</v>
      </c>
      <c r="B602" s="496"/>
      <c r="C602" s="493" t="s">
        <v>4153</v>
      </c>
      <c r="D602" s="493"/>
      <c r="E602" s="493"/>
      <c r="F602" s="493"/>
      <c r="G602" s="493"/>
      <c r="H602" s="493"/>
      <c r="I602" s="493"/>
      <c r="J602" s="493"/>
      <c r="K602" s="493"/>
      <c r="L602" s="493"/>
      <c r="M602" s="493"/>
    </row>
    <row r="603" spans="1:13" s="88" customFormat="1" ht="16.5" customHeight="1">
      <c r="A603" s="496" t="s">
        <v>5786</v>
      </c>
      <c r="B603" s="496"/>
      <c r="C603" s="497" t="s">
        <v>502</v>
      </c>
      <c r="D603" s="497"/>
      <c r="E603" s="497"/>
      <c r="F603" s="497"/>
      <c r="G603" s="497"/>
      <c r="H603" s="497"/>
      <c r="I603" s="497"/>
      <c r="J603" s="497"/>
      <c r="K603" s="497"/>
      <c r="L603" s="497"/>
      <c r="M603" s="497"/>
    </row>
    <row r="604" spans="1:13" s="88" customFormat="1" ht="16.5" customHeight="1">
      <c r="A604" s="496" t="s">
        <v>1220</v>
      </c>
      <c r="B604" s="496"/>
      <c r="C604" s="493" t="s">
        <v>4154</v>
      </c>
      <c r="D604" s="493"/>
      <c r="E604" s="493"/>
      <c r="F604" s="493"/>
      <c r="G604" s="493"/>
      <c r="H604" s="493"/>
      <c r="I604" s="493"/>
      <c r="J604" s="493"/>
      <c r="K604" s="493"/>
      <c r="L604" s="493"/>
      <c r="M604" s="493"/>
    </row>
    <row r="605" spans="1:13" s="88" customFormat="1" ht="16.5" customHeight="1">
      <c r="A605" s="496" t="s">
        <v>5785</v>
      </c>
      <c r="B605" s="496"/>
      <c r="C605" s="493" t="s">
        <v>4155</v>
      </c>
      <c r="D605" s="493"/>
      <c r="E605" s="493"/>
      <c r="F605" s="493"/>
      <c r="G605" s="493"/>
      <c r="H605" s="493"/>
      <c r="I605" s="493"/>
      <c r="J605" s="493"/>
      <c r="K605" s="493"/>
      <c r="L605" s="493"/>
      <c r="M605" s="493"/>
    </row>
    <row r="606" spans="1:13" s="88" customFormat="1" ht="16.5" customHeight="1">
      <c r="A606" s="89" t="s">
        <v>1223</v>
      </c>
      <c r="B606" s="92" t="s">
        <v>4156</v>
      </c>
      <c r="C606" s="493" t="s">
        <v>4157</v>
      </c>
      <c r="D606" s="493"/>
      <c r="E606" s="493"/>
      <c r="F606" s="493"/>
      <c r="G606" s="493"/>
      <c r="H606" s="493"/>
      <c r="I606" s="493"/>
      <c r="J606" s="493"/>
      <c r="K606" s="493"/>
      <c r="L606" s="493"/>
      <c r="M606" s="493"/>
    </row>
    <row r="607" spans="1:13" s="88" customFormat="1" ht="16.5" customHeight="1">
      <c r="A607" s="89"/>
      <c r="B607" s="92" t="s">
        <v>3900</v>
      </c>
      <c r="C607" s="493" t="s">
        <v>3901</v>
      </c>
      <c r="D607" s="493"/>
      <c r="E607" s="493"/>
      <c r="F607" s="493"/>
      <c r="G607" s="493"/>
      <c r="H607" s="493"/>
      <c r="I607" s="493"/>
      <c r="J607" s="493"/>
      <c r="K607" s="493"/>
      <c r="L607" s="493"/>
      <c r="M607" s="493"/>
    </row>
    <row r="608" spans="1:13" s="88" customFormat="1" ht="24.75" customHeight="1">
      <c r="A608" s="89"/>
      <c r="B608" s="90" t="s">
        <v>3902</v>
      </c>
      <c r="C608" s="493" t="s">
        <v>3903</v>
      </c>
      <c r="D608" s="493"/>
      <c r="E608" s="493"/>
      <c r="F608" s="493"/>
      <c r="G608" s="493"/>
      <c r="H608" s="493"/>
      <c r="I608" s="493"/>
      <c r="J608" s="493"/>
      <c r="K608" s="493"/>
      <c r="L608" s="493"/>
      <c r="M608" s="493"/>
    </row>
    <row r="609" spans="1:13" s="88" customFormat="1" ht="16.5" customHeight="1">
      <c r="A609" s="89" t="s">
        <v>1228</v>
      </c>
      <c r="B609" s="493"/>
      <c r="C609" s="493"/>
      <c r="D609" s="493"/>
      <c r="E609" s="493"/>
      <c r="F609" s="493"/>
      <c r="G609" s="493"/>
      <c r="H609" s="493"/>
      <c r="I609" s="493"/>
      <c r="J609" s="493"/>
      <c r="K609" s="493"/>
      <c r="L609" s="493"/>
      <c r="M609" s="493"/>
    </row>
    <row r="610" spans="1:13" ht="75" customHeight="1">
      <c r="A610" s="89" t="s">
        <v>1229</v>
      </c>
      <c r="B610" s="493" t="s">
        <v>4158</v>
      </c>
      <c r="C610" s="493"/>
      <c r="D610" s="493"/>
      <c r="E610" s="493"/>
      <c r="F610" s="493"/>
      <c r="G610" s="493"/>
      <c r="H610" s="493"/>
      <c r="I610" s="493"/>
      <c r="J610" s="493"/>
      <c r="K610" s="493"/>
      <c r="L610" s="493"/>
      <c r="M610" s="493"/>
    </row>
    <row r="611" spans="1:13" ht="21" customHeight="1">
      <c r="B611" s="494" t="s">
        <v>2863</v>
      </c>
      <c r="C611" s="494"/>
      <c r="D611" s="494"/>
      <c r="E611" s="494"/>
      <c r="F611" s="494"/>
      <c r="G611" s="494"/>
      <c r="H611" s="494"/>
      <c r="I611" s="494"/>
      <c r="J611" s="494"/>
      <c r="K611" s="494"/>
      <c r="L611" s="495"/>
    </row>
    <row r="612" spans="1:13" s="93" customFormat="1" ht="16.5" customHeight="1"/>
    <row r="613" spans="1:13" s="93" customFormat="1" ht="16.5" customHeight="1">
      <c r="A613" s="94" t="s">
        <v>1232</v>
      </c>
      <c r="B613" s="93" t="s">
        <v>1773</v>
      </c>
      <c r="E613" s="4"/>
    </row>
    <row r="614" spans="1:13" ht="16.5" customHeight="1"/>
    <row r="615" spans="1:13" ht="16.5" customHeight="1"/>
    <row r="616" spans="1:13" ht="16.5" customHeight="1">
      <c r="B616" s="93" t="s">
        <v>4150</v>
      </c>
      <c r="C616" s="93"/>
      <c r="D616" s="93"/>
      <c r="E616" s="93"/>
      <c r="F616" s="93"/>
      <c r="G616" s="93"/>
    </row>
    <row r="617" spans="1:13" ht="16.5" customHeight="1">
      <c r="B617" s="95" t="s">
        <v>4159</v>
      </c>
      <c r="C617" s="96" t="s">
        <v>3594</v>
      </c>
      <c r="D617" s="96" t="s">
        <v>3863</v>
      </c>
      <c r="E617" s="97" t="s">
        <v>4151</v>
      </c>
      <c r="F617" s="104" t="s">
        <v>1238</v>
      </c>
      <c r="G617" s="93"/>
    </row>
    <row r="618" spans="1:13" ht="16.5" customHeight="1">
      <c r="B618" s="105">
        <v>0.9</v>
      </c>
      <c r="C618" s="113">
        <v>60</v>
      </c>
      <c r="D618" s="113">
        <v>10</v>
      </c>
      <c r="E618" s="107">
        <f>NORMINV(B618,C618,D618)</f>
        <v>72.815515655446006</v>
      </c>
      <c r="F618" s="108" t="s">
        <v>4160</v>
      </c>
      <c r="G618" s="93"/>
    </row>
    <row r="619" spans="1:13" ht="16.5" customHeight="1"/>
    <row r="700" spans="1:13" s="88" customFormat="1" ht="26.25" customHeight="1">
      <c r="A700" s="498" t="s">
        <v>503</v>
      </c>
      <c r="B700" s="498"/>
      <c r="C700" s="499"/>
      <c r="D700" s="87"/>
      <c r="E700" s="500" t="str">
        <f>HYPERLINK("#目录!A305","跳转回到目录页")</f>
        <v>跳转回到目录页</v>
      </c>
      <c r="F700" s="501"/>
    </row>
    <row r="701" spans="1:13" s="88" customFormat="1" ht="26.25" customHeight="1">
      <c r="A701" s="502" t="s">
        <v>1216</v>
      </c>
      <c r="B701" s="502"/>
      <c r="C701" s="503" t="s">
        <v>504</v>
      </c>
      <c r="D701" s="503"/>
      <c r="E701" s="503"/>
      <c r="F701" s="503"/>
      <c r="G701" s="503"/>
      <c r="H701" s="503"/>
      <c r="I701" s="503"/>
      <c r="J701" s="503"/>
      <c r="K701" s="503"/>
      <c r="L701" s="503"/>
      <c r="M701" s="503"/>
    </row>
    <row r="702" spans="1:13" s="88" customFormat="1" ht="16.5" customHeight="1">
      <c r="A702" s="496" t="s">
        <v>1217</v>
      </c>
      <c r="B702" s="496"/>
      <c r="C702" s="493" t="s">
        <v>4161</v>
      </c>
      <c r="D702" s="493"/>
      <c r="E702" s="493"/>
      <c r="F702" s="493"/>
      <c r="G702" s="493"/>
      <c r="H702" s="493"/>
      <c r="I702" s="493"/>
      <c r="J702" s="493"/>
      <c r="K702" s="493"/>
      <c r="L702" s="493"/>
      <c r="M702" s="493"/>
    </row>
    <row r="703" spans="1:13" s="88" customFormat="1" ht="16.5" customHeight="1">
      <c r="A703" s="496" t="s">
        <v>5786</v>
      </c>
      <c r="B703" s="496"/>
      <c r="C703" s="497" t="s">
        <v>504</v>
      </c>
      <c r="D703" s="497"/>
      <c r="E703" s="497"/>
      <c r="F703" s="497"/>
      <c r="G703" s="497"/>
      <c r="H703" s="497"/>
      <c r="I703" s="497"/>
      <c r="J703" s="497"/>
      <c r="K703" s="497"/>
      <c r="L703" s="497"/>
      <c r="M703" s="497"/>
    </row>
    <row r="704" spans="1:13" s="88" customFormat="1" ht="16.5" customHeight="1">
      <c r="A704" s="496" t="s">
        <v>1220</v>
      </c>
      <c r="B704" s="496"/>
      <c r="C704" s="493" t="s">
        <v>4162</v>
      </c>
      <c r="D704" s="493"/>
      <c r="E704" s="493"/>
      <c r="F704" s="493"/>
      <c r="G704" s="493"/>
      <c r="H704" s="493"/>
      <c r="I704" s="493"/>
      <c r="J704" s="493"/>
      <c r="K704" s="493"/>
      <c r="L704" s="493"/>
      <c r="M704" s="493"/>
    </row>
    <row r="705" spans="1:13" s="88" customFormat="1" ht="16.5" customHeight="1">
      <c r="A705" s="496" t="s">
        <v>5785</v>
      </c>
      <c r="B705" s="496"/>
      <c r="C705" s="493" t="s">
        <v>4163</v>
      </c>
      <c r="D705" s="493"/>
      <c r="E705" s="493"/>
      <c r="F705" s="493"/>
      <c r="G705" s="493"/>
      <c r="H705" s="493"/>
      <c r="I705" s="493"/>
      <c r="J705" s="493"/>
      <c r="K705" s="493"/>
      <c r="L705" s="493"/>
      <c r="M705" s="493"/>
    </row>
    <row r="706" spans="1:13" s="88" customFormat="1" ht="16.5" customHeight="1">
      <c r="A706" s="89" t="s">
        <v>1223</v>
      </c>
      <c r="B706" s="92" t="s">
        <v>718</v>
      </c>
      <c r="C706" s="493" t="s">
        <v>4147</v>
      </c>
      <c r="D706" s="493"/>
      <c r="E706" s="493"/>
      <c r="F706" s="493"/>
      <c r="G706" s="493"/>
      <c r="H706" s="493"/>
      <c r="I706" s="493"/>
      <c r="J706" s="493"/>
      <c r="K706" s="493"/>
      <c r="L706" s="493"/>
      <c r="M706" s="493"/>
    </row>
    <row r="707" spans="1:13" s="88" customFormat="1" ht="16.5" customHeight="1">
      <c r="A707" s="89"/>
      <c r="B707" s="92"/>
      <c r="C707" s="493"/>
      <c r="D707" s="493"/>
      <c r="E707" s="493"/>
      <c r="F707" s="493"/>
      <c r="G707" s="493"/>
      <c r="H707" s="493"/>
      <c r="I707" s="493"/>
      <c r="J707" s="493"/>
      <c r="K707" s="493"/>
      <c r="L707" s="493"/>
      <c r="M707" s="493"/>
    </row>
    <row r="708" spans="1:13" s="88" customFormat="1" ht="16.5" customHeight="1">
      <c r="A708" s="89"/>
      <c r="B708" s="90"/>
      <c r="C708" s="493"/>
      <c r="D708" s="493"/>
      <c r="E708" s="493"/>
      <c r="F708" s="493"/>
      <c r="G708" s="493"/>
      <c r="H708" s="493"/>
      <c r="I708" s="493"/>
      <c r="J708" s="493"/>
      <c r="K708" s="493"/>
      <c r="L708" s="493"/>
      <c r="M708" s="493"/>
    </row>
    <row r="709" spans="1:13" s="88" customFormat="1" ht="16.5" customHeight="1">
      <c r="A709" s="89" t="s">
        <v>1228</v>
      </c>
      <c r="B709" s="493"/>
      <c r="C709" s="493"/>
      <c r="D709" s="493"/>
      <c r="E709" s="493"/>
      <c r="F709" s="493"/>
      <c r="G709" s="493"/>
      <c r="H709" s="493"/>
      <c r="I709" s="493"/>
      <c r="J709" s="493"/>
      <c r="K709" s="493"/>
      <c r="L709" s="493"/>
      <c r="M709" s="493"/>
    </row>
    <row r="710" spans="1:13" ht="16.5" customHeight="1">
      <c r="A710" s="89" t="s">
        <v>1229</v>
      </c>
      <c r="B710" s="493" t="s">
        <v>4164</v>
      </c>
      <c r="C710" s="493"/>
      <c r="D710" s="493"/>
      <c r="E710" s="493"/>
      <c r="F710" s="493"/>
      <c r="G710" s="493"/>
      <c r="H710" s="493"/>
      <c r="I710" s="493"/>
      <c r="J710" s="493"/>
      <c r="K710" s="493"/>
      <c r="L710" s="493"/>
      <c r="M710" s="493"/>
    </row>
    <row r="711" spans="1:13" ht="21" customHeight="1">
      <c r="B711" s="494" t="s">
        <v>2863</v>
      </c>
      <c r="C711" s="494"/>
      <c r="D711" s="494"/>
      <c r="E711" s="494"/>
      <c r="F711" s="494"/>
      <c r="G711" s="494"/>
      <c r="H711" s="494"/>
      <c r="I711" s="494"/>
      <c r="J711" s="494"/>
      <c r="K711" s="494"/>
      <c r="L711" s="495"/>
    </row>
    <row r="712" spans="1:13" s="93" customFormat="1" ht="16.5" customHeight="1"/>
    <row r="713" spans="1:13" s="93" customFormat="1" ht="16.5" customHeight="1">
      <c r="A713" s="94" t="s">
        <v>1232</v>
      </c>
      <c r="B713" s="93" t="s">
        <v>1773</v>
      </c>
    </row>
    <row r="714" spans="1:13" ht="16.5" customHeight="1">
      <c r="B714" s="93"/>
      <c r="C714" s="93"/>
      <c r="D714" s="93"/>
      <c r="E714" s="93"/>
      <c r="F714" s="93"/>
      <c r="G714" s="93"/>
      <c r="H714" s="93"/>
      <c r="I714" s="93"/>
      <c r="J714" s="93"/>
      <c r="K714" s="93"/>
    </row>
    <row r="715" spans="1:13" ht="16.5" customHeight="1">
      <c r="B715" s="93"/>
      <c r="C715" s="93"/>
      <c r="D715" s="93"/>
      <c r="E715" s="93"/>
      <c r="F715" s="93"/>
      <c r="G715" s="93"/>
      <c r="H715" s="93"/>
      <c r="I715" s="93"/>
      <c r="J715" s="93"/>
      <c r="K715" s="93"/>
    </row>
    <row r="716" spans="1:13" ht="16.5" customHeight="1">
      <c r="B716" s="93" t="s">
        <v>4165</v>
      </c>
      <c r="C716" s="93"/>
      <c r="D716" s="93"/>
      <c r="E716" s="93"/>
      <c r="F716" s="93"/>
      <c r="G716" s="93"/>
      <c r="H716" s="93"/>
      <c r="I716" s="93"/>
      <c r="J716" s="93"/>
      <c r="K716" s="93"/>
    </row>
    <row r="717" spans="1:13" ht="16.5" customHeight="1">
      <c r="B717" s="187" t="s">
        <v>4166</v>
      </c>
      <c r="C717" s="138" t="s">
        <v>4159</v>
      </c>
      <c r="D717" s="104" t="s">
        <v>1238</v>
      </c>
      <c r="E717" s="93"/>
      <c r="F717" s="93"/>
      <c r="G717" s="93"/>
      <c r="H717" s="93"/>
      <c r="I717" s="93"/>
      <c r="J717" s="93"/>
      <c r="K717" s="93"/>
    </row>
    <row r="718" spans="1:13" ht="16.5" customHeight="1">
      <c r="B718" s="105">
        <v>0.8</v>
      </c>
      <c r="C718" s="107">
        <f>NORMSDIST(B718)</f>
        <v>0.78814460141660336</v>
      </c>
      <c r="D718" s="108" t="s">
        <v>4167</v>
      </c>
      <c r="E718" s="93"/>
      <c r="F718" s="93"/>
      <c r="G718" s="93"/>
      <c r="H718" s="93"/>
      <c r="I718" s="93"/>
      <c r="J718" s="93"/>
      <c r="K718" s="93"/>
    </row>
    <row r="719" spans="1:13" ht="16.5" customHeight="1">
      <c r="B719" s="93"/>
      <c r="C719" s="93"/>
      <c r="D719" s="93"/>
      <c r="E719" s="93"/>
      <c r="F719" s="93"/>
      <c r="G719" s="93"/>
      <c r="H719" s="93"/>
      <c r="I719" s="93"/>
      <c r="J719" s="93"/>
      <c r="K719" s="93"/>
    </row>
    <row r="720" spans="1:13">
      <c r="B720" s="93"/>
      <c r="C720" s="93"/>
      <c r="D720" s="93"/>
      <c r="E720" s="93"/>
      <c r="F720" s="93"/>
      <c r="G720" s="93"/>
      <c r="H720" s="93"/>
      <c r="I720" s="93"/>
      <c r="J720" s="93"/>
      <c r="K720" s="93"/>
    </row>
    <row r="721" spans="2:11">
      <c r="B721" s="93"/>
      <c r="C721" s="93"/>
      <c r="D721" s="93"/>
      <c r="E721" s="93"/>
      <c r="F721" s="93"/>
      <c r="G721" s="93"/>
      <c r="H721" s="93"/>
      <c r="I721" s="93"/>
      <c r="J721" s="93"/>
      <c r="K721" s="93"/>
    </row>
    <row r="722" spans="2:11">
      <c r="B722" s="93"/>
      <c r="C722" s="93"/>
      <c r="D722" s="93"/>
      <c r="E722" s="93"/>
      <c r="F722" s="93"/>
      <c r="G722" s="93"/>
      <c r="H722" s="93"/>
      <c r="I722" s="93"/>
      <c r="J722" s="93"/>
      <c r="K722" s="93"/>
    </row>
    <row r="800" spans="1:6" s="88" customFormat="1" ht="26.25" customHeight="1">
      <c r="A800" s="498" t="s">
        <v>505</v>
      </c>
      <c r="B800" s="498"/>
      <c r="C800" s="499"/>
      <c r="D800" s="87"/>
      <c r="E800" s="500" t="str">
        <f>HYPERLINK("#目录!A306","跳转回到目录页")</f>
        <v>跳转回到目录页</v>
      </c>
      <c r="F800" s="501"/>
    </row>
    <row r="801" spans="1:13" s="88" customFormat="1" ht="26.25" customHeight="1">
      <c r="A801" s="502" t="s">
        <v>1216</v>
      </c>
      <c r="B801" s="502"/>
      <c r="C801" s="503" t="s">
        <v>506</v>
      </c>
      <c r="D801" s="503"/>
      <c r="E801" s="503"/>
      <c r="F801" s="503"/>
      <c r="G801" s="503"/>
      <c r="H801" s="503"/>
      <c r="I801" s="503"/>
      <c r="J801" s="503"/>
      <c r="K801" s="503"/>
      <c r="L801" s="503"/>
      <c r="M801" s="503"/>
    </row>
    <row r="802" spans="1:13" s="88" customFormat="1" ht="16.5" customHeight="1">
      <c r="A802" s="496" t="s">
        <v>1217</v>
      </c>
      <c r="B802" s="496"/>
      <c r="C802" s="493" t="s">
        <v>4168</v>
      </c>
      <c r="D802" s="493"/>
      <c r="E802" s="493"/>
      <c r="F802" s="493"/>
      <c r="G802" s="493"/>
      <c r="H802" s="493"/>
      <c r="I802" s="493"/>
      <c r="J802" s="493"/>
      <c r="K802" s="493"/>
      <c r="L802" s="493"/>
      <c r="M802" s="493"/>
    </row>
    <row r="803" spans="1:13" s="88" customFormat="1" ht="16.5" customHeight="1">
      <c r="A803" s="496" t="s">
        <v>5786</v>
      </c>
      <c r="B803" s="496"/>
      <c r="C803" s="497" t="s">
        <v>506</v>
      </c>
      <c r="D803" s="497"/>
      <c r="E803" s="497"/>
      <c r="F803" s="497"/>
      <c r="G803" s="497"/>
      <c r="H803" s="497"/>
      <c r="I803" s="497"/>
      <c r="J803" s="497"/>
      <c r="K803" s="497"/>
      <c r="L803" s="497"/>
      <c r="M803" s="497"/>
    </row>
    <row r="804" spans="1:13" s="88" customFormat="1" ht="16.5" customHeight="1">
      <c r="A804" s="496" t="s">
        <v>1220</v>
      </c>
      <c r="B804" s="496"/>
      <c r="C804" s="493" t="s">
        <v>4169</v>
      </c>
      <c r="D804" s="493"/>
      <c r="E804" s="493"/>
      <c r="F804" s="493"/>
      <c r="G804" s="493"/>
      <c r="H804" s="493"/>
      <c r="I804" s="493"/>
      <c r="J804" s="493"/>
      <c r="K804" s="493"/>
      <c r="L804" s="493"/>
      <c r="M804" s="493"/>
    </row>
    <row r="805" spans="1:13" s="88" customFormat="1" ht="16.5" customHeight="1">
      <c r="A805" s="496" t="s">
        <v>5785</v>
      </c>
      <c r="B805" s="496"/>
      <c r="C805" s="493" t="s">
        <v>4170</v>
      </c>
      <c r="D805" s="493"/>
      <c r="E805" s="493"/>
      <c r="F805" s="493"/>
      <c r="G805" s="493"/>
      <c r="H805" s="493"/>
      <c r="I805" s="493"/>
      <c r="J805" s="493"/>
      <c r="K805" s="493"/>
      <c r="L805" s="493"/>
      <c r="M805" s="493"/>
    </row>
    <row r="806" spans="1:13" s="88" customFormat="1" ht="16.5" customHeight="1">
      <c r="A806" s="89" t="s">
        <v>1223</v>
      </c>
      <c r="B806" s="92" t="s">
        <v>4156</v>
      </c>
      <c r="C806" s="493" t="s">
        <v>4157</v>
      </c>
      <c r="D806" s="493"/>
      <c r="E806" s="493"/>
      <c r="F806" s="493"/>
      <c r="G806" s="493"/>
      <c r="H806" s="493"/>
      <c r="I806" s="493"/>
      <c r="J806" s="493"/>
      <c r="K806" s="493"/>
      <c r="L806" s="493"/>
      <c r="M806" s="493"/>
    </row>
    <row r="807" spans="1:13" s="88" customFormat="1" ht="16.5" customHeight="1">
      <c r="A807" s="89"/>
      <c r="B807" s="92"/>
      <c r="C807" s="493"/>
      <c r="D807" s="493"/>
      <c r="E807" s="493"/>
      <c r="F807" s="493"/>
      <c r="G807" s="493"/>
      <c r="H807" s="493"/>
      <c r="I807" s="493"/>
      <c r="J807" s="493"/>
      <c r="K807" s="493"/>
      <c r="L807" s="493"/>
      <c r="M807" s="493"/>
    </row>
    <row r="808" spans="1:13" s="88" customFormat="1" ht="16.5" customHeight="1">
      <c r="A808" s="89"/>
      <c r="B808" s="90"/>
      <c r="C808" s="493"/>
      <c r="D808" s="493"/>
      <c r="E808" s="493"/>
      <c r="F808" s="493"/>
      <c r="G808" s="493"/>
      <c r="H808" s="493"/>
      <c r="I808" s="493"/>
      <c r="J808" s="493"/>
      <c r="K808" s="493"/>
      <c r="L808" s="493"/>
      <c r="M808" s="493"/>
    </row>
    <row r="809" spans="1:13" s="88" customFormat="1" ht="16.5" customHeight="1">
      <c r="A809" s="89" t="s">
        <v>1228</v>
      </c>
      <c r="B809" s="493"/>
      <c r="C809" s="493"/>
      <c r="D809" s="493"/>
      <c r="E809" s="493"/>
      <c r="F809" s="493"/>
      <c r="G809" s="493"/>
      <c r="H809" s="493"/>
      <c r="I809" s="493"/>
      <c r="J809" s="493"/>
      <c r="K809" s="493"/>
      <c r="L809" s="493"/>
      <c r="M809" s="493"/>
    </row>
    <row r="810" spans="1:13" ht="51.75" customHeight="1">
      <c r="A810" s="89" t="s">
        <v>1229</v>
      </c>
      <c r="B810" s="493" t="s">
        <v>4171</v>
      </c>
      <c r="C810" s="493"/>
      <c r="D810" s="493"/>
      <c r="E810" s="493"/>
      <c r="F810" s="493"/>
      <c r="G810" s="493"/>
      <c r="H810" s="493"/>
      <c r="I810" s="493"/>
      <c r="J810" s="493"/>
      <c r="K810" s="493"/>
      <c r="L810" s="493"/>
      <c r="M810" s="493"/>
    </row>
    <row r="811" spans="1:13" ht="21" customHeight="1">
      <c r="B811" s="494" t="s">
        <v>2863</v>
      </c>
      <c r="C811" s="494"/>
      <c r="D811" s="494"/>
      <c r="E811" s="494"/>
      <c r="F811" s="494"/>
      <c r="G811" s="494"/>
      <c r="H811" s="494"/>
      <c r="I811" s="494"/>
      <c r="J811" s="494"/>
      <c r="K811" s="494"/>
      <c r="L811" s="495"/>
    </row>
    <row r="812" spans="1:13" s="93" customFormat="1" ht="16.5" customHeight="1"/>
    <row r="813" spans="1:13" s="93" customFormat="1" ht="16.5" customHeight="1">
      <c r="A813" s="94" t="s">
        <v>1232</v>
      </c>
      <c r="B813" s="93" t="s">
        <v>1773</v>
      </c>
      <c r="D813" s="4"/>
    </row>
    <row r="814" spans="1:13" ht="16.5" customHeight="1"/>
    <row r="815" spans="1:13" ht="16.5" customHeight="1"/>
    <row r="816" spans="1:13" ht="16.5" customHeight="1">
      <c r="B816" s="93" t="s">
        <v>4165</v>
      </c>
      <c r="C816" s="93"/>
      <c r="D816" s="93"/>
    </row>
    <row r="817" spans="2:4" ht="16.5" customHeight="1">
      <c r="B817" s="95" t="s">
        <v>4159</v>
      </c>
      <c r="C817" s="97" t="s">
        <v>4166</v>
      </c>
      <c r="D817" s="104" t="s">
        <v>1238</v>
      </c>
    </row>
    <row r="818" spans="2:4" ht="16.5" customHeight="1">
      <c r="B818" s="105">
        <v>0.9</v>
      </c>
      <c r="C818" s="107">
        <f>NORMSINV(B818)</f>
        <v>1.2815515655446006</v>
      </c>
      <c r="D818" s="108" t="s">
        <v>4172</v>
      </c>
    </row>
    <row r="819" spans="2:4" ht="16.5" customHeight="1"/>
  </sheetData>
  <mergeCells count="171">
    <mergeCell ref="A4:B4"/>
    <mergeCell ref="C4:M4"/>
    <mergeCell ref="A5:B5"/>
    <mergeCell ref="C5:M5"/>
    <mergeCell ref="A6:B6"/>
    <mergeCell ref="C6:M6"/>
    <mergeCell ref="A1:C1"/>
    <mergeCell ref="E1:F1"/>
    <mergeCell ref="A2:B2"/>
    <mergeCell ref="C2:M2"/>
    <mergeCell ref="A3:B3"/>
    <mergeCell ref="C3:M3"/>
    <mergeCell ref="B13:L13"/>
    <mergeCell ref="B20:D20"/>
    <mergeCell ref="F21:G21"/>
    <mergeCell ref="A100:C100"/>
    <mergeCell ref="E100:F100"/>
    <mergeCell ref="A101:B101"/>
    <mergeCell ref="C101:M101"/>
    <mergeCell ref="C7:M7"/>
    <mergeCell ref="C8:M8"/>
    <mergeCell ref="C9:M9"/>
    <mergeCell ref="C10:M10"/>
    <mergeCell ref="B11:M11"/>
    <mergeCell ref="B12:M12"/>
    <mergeCell ref="A105:B105"/>
    <mergeCell ref="C105:M105"/>
    <mergeCell ref="C106:M106"/>
    <mergeCell ref="C107:M107"/>
    <mergeCell ref="C108:M108"/>
    <mergeCell ref="B109:M109"/>
    <mergeCell ref="A102:B102"/>
    <mergeCell ref="C102:M102"/>
    <mergeCell ref="A103:B103"/>
    <mergeCell ref="C103:M103"/>
    <mergeCell ref="A104:B104"/>
    <mergeCell ref="C104:M104"/>
    <mergeCell ref="A201:B201"/>
    <mergeCell ref="C201:M201"/>
    <mergeCell ref="A202:B202"/>
    <mergeCell ref="C202:M202"/>
    <mergeCell ref="A203:B203"/>
    <mergeCell ref="C203:M203"/>
    <mergeCell ref="B110:M110"/>
    <mergeCell ref="B111:L111"/>
    <mergeCell ref="B118:D118"/>
    <mergeCell ref="F119:G119"/>
    <mergeCell ref="A200:C200"/>
    <mergeCell ref="E200:F200"/>
    <mergeCell ref="C208:M208"/>
    <mergeCell ref="B209:M209"/>
    <mergeCell ref="B210:M210"/>
    <mergeCell ref="B211:L211"/>
    <mergeCell ref="B218:D218"/>
    <mergeCell ref="A300:C300"/>
    <mergeCell ref="E300:F300"/>
    <mergeCell ref="A204:B204"/>
    <mergeCell ref="C204:M204"/>
    <mergeCell ref="A205:B205"/>
    <mergeCell ref="C205:M205"/>
    <mergeCell ref="C206:M206"/>
    <mergeCell ref="C207:M207"/>
    <mergeCell ref="A304:B304"/>
    <mergeCell ref="C304:M304"/>
    <mergeCell ref="A305:B305"/>
    <mergeCell ref="C305:M305"/>
    <mergeCell ref="C306:M306"/>
    <mergeCell ref="C307:M307"/>
    <mergeCell ref="A301:B301"/>
    <mergeCell ref="C301:M301"/>
    <mergeCell ref="A302:B302"/>
    <mergeCell ref="C302:M302"/>
    <mergeCell ref="A303:B303"/>
    <mergeCell ref="C303:M303"/>
    <mergeCell ref="A400:C400"/>
    <mergeCell ref="E400:F400"/>
    <mergeCell ref="A401:B401"/>
    <mergeCell ref="C401:M401"/>
    <mergeCell ref="A402:B402"/>
    <mergeCell ref="C402:M402"/>
    <mergeCell ref="C308:M308"/>
    <mergeCell ref="C309:M309"/>
    <mergeCell ref="B310:M310"/>
    <mergeCell ref="B311:M311"/>
    <mergeCell ref="B312:L312"/>
    <mergeCell ref="B317:E317"/>
    <mergeCell ref="C406:M406"/>
    <mergeCell ref="C407:M407"/>
    <mergeCell ref="C408:M408"/>
    <mergeCell ref="B409:M409"/>
    <mergeCell ref="B410:M410"/>
    <mergeCell ref="B411:L411"/>
    <mergeCell ref="A403:B403"/>
    <mergeCell ref="C403:M403"/>
    <mergeCell ref="A404:B404"/>
    <mergeCell ref="C404:M404"/>
    <mergeCell ref="A405:B405"/>
    <mergeCell ref="C405:M405"/>
    <mergeCell ref="A503:B503"/>
    <mergeCell ref="C503:M503"/>
    <mergeCell ref="A504:B504"/>
    <mergeCell ref="C504:M504"/>
    <mergeCell ref="A505:B505"/>
    <mergeCell ref="C505:M505"/>
    <mergeCell ref="A500:C500"/>
    <mergeCell ref="E500:F500"/>
    <mergeCell ref="A501:B501"/>
    <mergeCell ref="C501:M501"/>
    <mergeCell ref="A502:B502"/>
    <mergeCell ref="C502:M502"/>
    <mergeCell ref="B512:L512"/>
    <mergeCell ref="A600:C600"/>
    <mergeCell ref="E600:F600"/>
    <mergeCell ref="A601:B601"/>
    <mergeCell ref="C601:M601"/>
    <mergeCell ref="A602:B602"/>
    <mergeCell ref="C602:M602"/>
    <mergeCell ref="C506:M506"/>
    <mergeCell ref="C507:M507"/>
    <mergeCell ref="C508:M508"/>
    <mergeCell ref="C509:M509"/>
    <mergeCell ref="B510:M510"/>
    <mergeCell ref="B511:M511"/>
    <mergeCell ref="C606:M606"/>
    <mergeCell ref="C607:M607"/>
    <mergeCell ref="C608:M608"/>
    <mergeCell ref="B609:M609"/>
    <mergeCell ref="B610:M610"/>
    <mergeCell ref="B611:L611"/>
    <mergeCell ref="A603:B603"/>
    <mergeCell ref="C603:M603"/>
    <mergeCell ref="A604:B604"/>
    <mergeCell ref="C604:M604"/>
    <mergeCell ref="A605:B605"/>
    <mergeCell ref="C605:M605"/>
    <mergeCell ref="A703:B703"/>
    <mergeCell ref="C703:M703"/>
    <mergeCell ref="A704:B704"/>
    <mergeCell ref="C704:M704"/>
    <mergeCell ref="A705:B705"/>
    <mergeCell ref="C705:M705"/>
    <mergeCell ref="A700:C700"/>
    <mergeCell ref="E700:F700"/>
    <mergeCell ref="A701:B701"/>
    <mergeCell ref="C701:M701"/>
    <mergeCell ref="A702:B702"/>
    <mergeCell ref="C702:M702"/>
    <mergeCell ref="A800:C800"/>
    <mergeCell ref="E800:F800"/>
    <mergeCell ref="A801:B801"/>
    <mergeCell ref="C801:M801"/>
    <mergeCell ref="A802:B802"/>
    <mergeCell ref="C802:M802"/>
    <mergeCell ref="C706:M706"/>
    <mergeCell ref="C707:M707"/>
    <mergeCell ref="C708:M708"/>
    <mergeCell ref="B709:M709"/>
    <mergeCell ref="B710:M710"/>
    <mergeCell ref="B711:L711"/>
    <mergeCell ref="C806:M806"/>
    <mergeCell ref="C807:M807"/>
    <mergeCell ref="C808:M808"/>
    <mergeCell ref="B809:M809"/>
    <mergeCell ref="B810:M810"/>
    <mergeCell ref="B811:L811"/>
    <mergeCell ref="A803:B803"/>
    <mergeCell ref="C803:M803"/>
    <mergeCell ref="A804:B804"/>
    <mergeCell ref="C804:M804"/>
    <mergeCell ref="A805:B805"/>
    <mergeCell ref="C805:M805"/>
  </mergeCells>
  <phoneticPr fontId="2" type="noConversion"/>
  <pageMargins left="0.75" right="0.75" top="1" bottom="1" header="0.5" footer="0.5"/>
  <pageSetup paperSize="9" orientation="portrait" horizontalDpi="0" verticalDpi="0"/>
  <headerFooter scaleWithDoc="0"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AV11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1009</v>
      </c>
      <c r="B1" s="498"/>
      <c r="C1" s="499"/>
      <c r="D1" s="87"/>
      <c r="E1" s="500" t="str">
        <f>HYPERLINK("#目录!A308","跳转回到目录页")</f>
        <v>跳转回到目录页</v>
      </c>
      <c r="F1" s="501"/>
    </row>
    <row r="2" spans="1:48" s="88" customFormat="1" ht="26.25" customHeight="1">
      <c r="A2" s="502" t="s">
        <v>1216</v>
      </c>
      <c r="B2" s="502"/>
      <c r="C2" s="503" t="s">
        <v>508</v>
      </c>
      <c r="D2" s="503"/>
      <c r="E2" s="503"/>
      <c r="F2" s="503"/>
      <c r="G2" s="503"/>
      <c r="H2" s="503"/>
      <c r="I2" s="503"/>
      <c r="J2" s="503"/>
      <c r="K2" s="503"/>
      <c r="L2" s="503"/>
      <c r="M2" s="503"/>
    </row>
    <row r="3" spans="1:48" s="88" customFormat="1" ht="16.5" customHeight="1">
      <c r="A3" s="496" t="s">
        <v>1217</v>
      </c>
      <c r="B3" s="496"/>
      <c r="C3" s="493" t="s">
        <v>4173</v>
      </c>
      <c r="D3" s="493"/>
      <c r="E3" s="493"/>
      <c r="F3" s="493"/>
      <c r="G3" s="493"/>
      <c r="H3" s="493"/>
      <c r="I3" s="493"/>
      <c r="J3" s="493"/>
      <c r="K3" s="493"/>
      <c r="L3" s="493"/>
      <c r="M3" s="493"/>
    </row>
    <row r="4" spans="1:48" s="88" customFormat="1" ht="16.5" customHeight="1">
      <c r="A4" s="496" t="s">
        <v>5786</v>
      </c>
      <c r="B4" s="496"/>
      <c r="C4" s="497" t="s">
        <v>508</v>
      </c>
      <c r="D4" s="497"/>
      <c r="E4" s="497"/>
      <c r="F4" s="497"/>
      <c r="G4" s="497"/>
      <c r="H4" s="497"/>
      <c r="I4" s="497"/>
      <c r="J4" s="497"/>
      <c r="K4" s="497"/>
      <c r="L4" s="497"/>
      <c r="M4" s="497"/>
    </row>
    <row r="5" spans="1:48" s="88" customFormat="1" ht="16.5" customHeight="1">
      <c r="A5" s="496" t="s">
        <v>1220</v>
      </c>
      <c r="B5" s="496"/>
      <c r="C5" s="493" t="s">
        <v>4174</v>
      </c>
      <c r="D5" s="493"/>
      <c r="E5" s="493"/>
      <c r="F5" s="493"/>
      <c r="G5" s="493"/>
      <c r="H5" s="493"/>
      <c r="I5" s="493"/>
      <c r="J5" s="493"/>
      <c r="K5" s="493"/>
      <c r="L5" s="493"/>
      <c r="M5" s="493"/>
    </row>
    <row r="6" spans="1:48" s="88" customFormat="1" ht="16.5" customHeight="1">
      <c r="A6" s="496" t="s">
        <v>5785</v>
      </c>
      <c r="B6" s="496"/>
      <c r="C6" s="493" t="s">
        <v>4175</v>
      </c>
      <c r="D6" s="493"/>
      <c r="E6" s="493"/>
      <c r="F6" s="493"/>
      <c r="G6" s="493"/>
      <c r="H6" s="493"/>
      <c r="I6" s="493"/>
      <c r="J6" s="493"/>
      <c r="K6" s="493"/>
      <c r="L6" s="493"/>
      <c r="M6" s="493"/>
    </row>
    <row r="7" spans="1:48" s="88" customFormat="1" ht="16.5" customHeight="1">
      <c r="A7" s="89" t="s">
        <v>1223</v>
      </c>
      <c r="B7" s="92" t="s">
        <v>2418</v>
      </c>
      <c r="C7" s="493" t="s">
        <v>4176</v>
      </c>
      <c r="D7" s="493"/>
      <c r="E7" s="493"/>
      <c r="F7" s="493"/>
      <c r="G7" s="493"/>
      <c r="H7" s="493"/>
      <c r="I7" s="493"/>
      <c r="J7" s="493"/>
      <c r="K7" s="493"/>
      <c r="L7" s="493"/>
      <c r="M7" s="493"/>
    </row>
    <row r="8" spans="1:48" s="88" customFormat="1" ht="16.5" customHeight="1">
      <c r="A8" s="89"/>
      <c r="B8" s="92" t="s">
        <v>3900</v>
      </c>
      <c r="C8" s="493" t="s">
        <v>4177</v>
      </c>
      <c r="D8" s="493"/>
      <c r="E8" s="493"/>
      <c r="F8" s="493"/>
      <c r="G8" s="493"/>
      <c r="H8" s="493"/>
      <c r="I8" s="493"/>
      <c r="J8" s="493"/>
      <c r="K8" s="493"/>
      <c r="L8" s="493"/>
      <c r="M8" s="493"/>
    </row>
    <row r="9" spans="1:48" s="88" customFormat="1" ht="24.75" customHeight="1">
      <c r="A9" s="89"/>
      <c r="B9" s="90" t="s">
        <v>3902</v>
      </c>
      <c r="C9" s="493" t="s">
        <v>4178</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29.25" customHeight="1">
      <c r="A11" s="89" t="s">
        <v>1229</v>
      </c>
      <c r="B11" s="493" t="s">
        <v>4179</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65" t="s">
        <v>4180</v>
      </c>
      <c r="C17" s="565"/>
      <c r="D17" s="565"/>
      <c r="E17" s="565"/>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4181</v>
      </c>
      <c r="C18" s="96" t="s">
        <v>3594</v>
      </c>
      <c r="D18" s="96" t="s">
        <v>3863</v>
      </c>
      <c r="E18" s="97" t="s">
        <v>4159</v>
      </c>
      <c r="F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05">
        <v>4.75</v>
      </c>
      <c r="C19" s="113">
        <v>1.4</v>
      </c>
      <c r="D19" s="113">
        <v>0.4</v>
      </c>
      <c r="E19" s="107">
        <f>LOGNORMDIST(B19,C19,D19)</f>
        <v>0.65371195764710532</v>
      </c>
      <c r="F19" s="108" t="s">
        <v>4182</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E22" s="93" t="s">
        <v>3592</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1007</v>
      </c>
      <c r="B100" s="498"/>
      <c r="C100" s="499"/>
      <c r="D100" s="87"/>
      <c r="E100" s="500" t="str">
        <f>HYPERLINK("#目录!A309","跳转回到目录页")</f>
        <v>跳转回到目录页</v>
      </c>
      <c r="F100" s="501"/>
    </row>
    <row r="101" spans="1:13" s="88" customFormat="1" ht="26.25" customHeight="1">
      <c r="A101" s="502" t="s">
        <v>1216</v>
      </c>
      <c r="B101" s="502"/>
      <c r="C101" s="503" t="s">
        <v>509</v>
      </c>
      <c r="D101" s="503"/>
      <c r="E101" s="503"/>
      <c r="F101" s="503"/>
      <c r="G101" s="503"/>
      <c r="H101" s="503"/>
      <c r="I101" s="503"/>
      <c r="J101" s="503"/>
      <c r="K101" s="503"/>
      <c r="L101" s="503"/>
      <c r="M101" s="503"/>
    </row>
    <row r="102" spans="1:13" s="88" customFormat="1" ht="24.75" customHeight="1">
      <c r="A102" s="496" t="s">
        <v>1217</v>
      </c>
      <c r="B102" s="496"/>
      <c r="C102" s="493" t="s">
        <v>4183</v>
      </c>
      <c r="D102" s="493"/>
      <c r="E102" s="493"/>
      <c r="F102" s="493"/>
      <c r="G102" s="493"/>
      <c r="H102" s="493"/>
      <c r="I102" s="493"/>
      <c r="J102" s="493"/>
      <c r="K102" s="493"/>
      <c r="L102" s="493"/>
      <c r="M102" s="493"/>
    </row>
    <row r="103" spans="1:13" s="88" customFormat="1" ht="16.5" customHeight="1">
      <c r="A103" s="496" t="s">
        <v>5786</v>
      </c>
      <c r="B103" s="496"/>
      <c r="C103" s="497" t="s">
        <v>509</v>
      </c>
      <c r="D103" s="497"/>
      <c r="E103" s="497"/>
      <c r="F103" s="497"/>
      <c r="G103" s="497"/>
      <c r="H103" s="497"/>
      <c r="I103" s="497"/>
      <c r="J103" s="497"/>
      <c r="K103" s="497"/>
      <c r="L103" s="497"/>
      <c r="M103" s="497"/>
    </row>
    <row r="104" spans="1:13" s="88" customFormat="1" ht="16.5" customHeight="1">
      <c r="A104" s="496" t="s">
        <v>1220</v>
      </c>
      <c r="B104" s="496"/>
      <c r="C104" s="493" t="s">
        <v>4184</v>
      </c>
      <c r="D104" s="493"/>
      <c r="E104" s="493"/>
      <c r="F104" s="493"/>
      <c r="G104" s="493"/>
      <c r="H104" s="493"/>
      <c r="I104" s="493"/>
      <c r="J104" s="493"/>
      <c r="K104" s="493"/>
      <c r="L104" s="493"/>
      <c r="M104" s="493"/>
    </row>
    <row r="105" spans="1:13" s="88" customFormat="1" ht="16.5" customHeight="1">
      <c r="A105" s="496" t="s">
        <v>5785</v>
      </c>
      <c r="B105" s="496"/>
      <c r="C105" s="493" t="s">
        <v>4185</v>
      </c>
      <c r="D105" s="493"/>
      <c r="E105" s="493"/>
      <c r="F105" s="493"/>
      <c r="G105" s="493"/>
      <c r="H105" s="493"/>
      <c r="I105" s="493"/>
      <c r="J105" s="493"/>
      <c r="K105" s="493"/>
      <c r="L105" s="493"/>
      <c r="M105" s="493"/>
    </row>
    <row r="106" spans="1:13" s="88" customFormat="1" ht="16.5" customHeight="1">
      <c r="A106" s="89" t="s">
        <v>1223</v>
      </c>
      <c r="B106" s="92" t="s">
        <v>4156</v>
      </c>
      <c r="C106" s="493" t="s">
        <v>4186</v>
      </c>
      <c r="D106" s="493"/>
      <c r="E106" s="493"/>
      <c r="F106" s="493"/>
      <c r="G106" s="493"/>
      <c r="H106" s="493"/>
      <c r="I106" s="493"/>
      <c r="J106" s="493"/>
      <c r="K106" s="493"/>
      <c r="L106" s="493"/>
      <c r="M106" s="493"/>
    </row>
    <row r="107" spans="1:13" s="88" customFormat="1" ht="16.5" customHeight="1">
      <c r="A107" s="89"/>
      <c r="B107" s="92" t="s">
        <v>3900</v>
      </c>
      <c r="C107" s="493" t="s">
        <v>4177</v>
      </c>
      <c r="D107" s="493"/>
      <c r="E107" s="493"/>
      <c r="F107" s="493"/>
      <c r="G107" s="493"/>
      <c r="H107" s="493"/>
      <c r="I107" s="493"/>
      <c r="J107" s="493"/>
      <c r="K107" s="493"/>
      <c r="L107" s="493"/>
      <c r="M107" s="493"/>
    </row>
    <row r="108" spans="1:13" s="88" customFormat="1" ht="24.75" customHeight="1">
      <c r="A108" s="89"/>
      <c r="B108" s="90" t="s">
        <v>3902</v>
      </c>
      <c r="C108" s="493" t="s">
        <v>4178</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37.5" customHeight="1">
      <c r="A110" s="89" t="s">
        <v>1229</v>
      </c>
      <c r="B110" s="493" t="s">
        <v>4187</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6" s="93" customFormat="1" ht="16.5" customHeight="1">
      <c r="A113" s="94" t="s">
        <v>1232</v>
      </c>
      <c r="B113" s="93" t="s">
        <v>1773</v>
      </c>
      <c r="E113" s="4" t="s">
        <v>3592</v>
      </c>
    </row>
    <row r="114" spans="1:6" ht="16.5" customHeight="1"/>
    <row r="115" spans="1:6" ht="16.5" customHeight="1"/>
    <row r="116" spans="1:6" ht="16.5" customHeight="1">
      <c r="B116" s="565" t="s">
        <v>4180</v>
      </c>
      <c r="C116" s="565"/>
      <c r="D116" s="565"/>
      <c r="E116" s="565"/>
      <c r="F116" s="93"/>
    </row>
    <row r="117" spans="1:6" ht="16.5" customHeight="1">
      <c r="B117" s="95" t="s">
        <v>4159</v>
      </c>
      <c r="C117" s="96" t="s">
        <v>3594</v>
      </c>
      <c r="D117" s="96" t="s">
        <v>3863</v>
      </c>
      <c r="E117" s="97" t="s">
        <v>4181</v>
      </c>
      <c r="F117" s="104" t="s">
        <v>1238</v>
      </c>
    </row>
    <row r="118" spans="1:6" ht="16.5" customHeight="1">
      <c r="B118" s="105">
        <v>0.45</v>
      </c>
      <c r="C118" s="113">
        <v>1.4</v>
      </c>
      <c r="D118" s="113">
        <v>0.4</v>
      </c>
      <c r="E118" s="107">
        <f>LOGINV(B118,C118,D118)</f>
        <v>3.8564052271604679</v>
      </c>
      <c r="F118" s="108" t="s">
        <v>4188</v>
      </c>
    </row>
    <row r="119" spans="1:6" ht="16.5" customHeight="1"/>
  </sheetData>
  <mergeCells count="38">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E17"/>
    <mergeCell ref="A100:C100"/>
    <mergeCell ref="E100:F100"/>
    <mergeCell ref="A101:B101"/>
    <mergeCell ref="C101:M101"/>
    <mergeCell ref="A103:B103"/>
    <mergeCell ref="C103:M103"/>
    <mergeCell ref="A104:B104"/>
    <mergeCell ref="C104:M104"/>
    <mergeCell ref="A105:B105"/>
    <mergeCell ref="C105:M105"/>
    <mergeCell ref="B116:E116"/>
    <mergeCell ref="C106:M106"/>
    <mergeCell ref="C107:M107"/>
    <mergeCell ref="C108:M108"/>
    <mergeCell ref="B109:M109"/>
    <mergeCell ref="B110:M110"/>
    <mergeCell ref="B111:L111"/>
  </mergeCells>
  <phoneticPr fontId="2" type="noConversion"/>
  <pageMargins left="0.75" right="0.75" top="1" bottom="1" header="0.5" footer="0.5"/>
  <headerFooter scaleWithDoc="0"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dimension ref="A1:AV225"/>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769</v>
      </c>
      <c r="B1" s="498"/>
      <c r="C1" s="499"/>
      <c r="D1" s="87"/>
      <c r="E1" s="500" t="str">
        <f>HYPERLINK("#目录!A311","跳转回到目录页")</f>
        <v>跳转回到目录页</v>
      </c>
      <c r="F1" s="501"/>
    </row>
    <row r="2" spans="1:48" s="88" customFormat="1" ht="26.25" customHeight="1">
      <c r="A2" s="502" t="s">
        <v>1216</v>
      </c>
      <c r="B2" s="502"/>
      <c r="C2" s="503" t="s">
        <v>512</v>
      </c>
      <c r="D2" s="503"/>
      <c r="E2" s="503"/>
      <c r="F2" s="503"/>
      <c r="G2" s="503"/>
      <c r="H2" s="503"/>
      <c r="I2" s="503"/>
      <c r="J2" s="503"/>
      <c r="K2" s="503"/>
      <c r="L2" s="503"/>
      <c r="M2" s="503"/>
    </row>
    <row r="3" spans="1:48" s="88" customFormat="1" ht="16.5" customHeight="1">
      <c r="A3" s="496" t="s">
        <v>1217</v>
      </c>
      <c r="B3" s="496"/>
      <c r="C3" s="493" t="s">
        <v>4189</v>
      </c>
      <c r="D3" s="493"/>
      <c r="E3" s="493"/>
      <c r="F3" s="493"/>
      <c r="G3" s="493"/>
      <c r="H3" s="493"/>
      <c r="I3" s="493"/>
      <c r="J3" s="493"/>
      <c r="K3" s="493"/>
      <c r="L3" s="493"/>
      <c r="M3" s="493"/>
    </row>
    <row r="4" spans="1:48" s="88" customFormat="1" ht="16.5" customHeight="1">
      <c r="A4" s="496" t="s">
        <v>5786</v>
      </c>
      <c r="B4" s="496"/>
      <c r="C4" s="497" t="s">
        <v>512</v>
      </c>
      <c r="D4" s="497"/>
      <c r="E4" s="497"/>
      <c r="F4" s="497"/>
      <c r="G4" s="497"/>
      <c r="H4" s="497"/>
      <c r="I4" s="497"/>
      <c r="J4" s="497"/>
      <c r="K4" s="497"/>
      <c r="L4" s="497"/>
      <c r="M4" s="497"/>
    </row>
    <row r="5" spans="1:48" s="88" customFormat="1" ht="16.5" customHeight="1">
      <c r="A5" s="496" t="s">
        <v>1220</v>
      </c>
      <c r="B5" s="496"/>
      <c r="C5" s="493" t="s">
        <v>4190</v>
      </c>
      <c r="D5" s="493"/>
      <c r="E5" s="493"/>
      <c r="F5" s="493"/>
      <c r="G5" s="493"/>
      <c r="H5" s="493"/>
      <c r="I5" s="493"/>
      <c r="J5" s="493"/>
      <c r="K5" s="493"/>
      <c r="L5" s="493"/>
      <c r="M5" s="493"/>
    </row>
    <row r="6" spans="1:48" s="88" customFormat="1" ht="16.5" customHeight="1">
      <c r="A6" s="496" t="s">
        <v>5785</v>
      </c>
      <c r="B6" s="496"/>
      <c r="C6" s="493" t="s">
        <v>4191</v>
      </c>
      <c r="D6" s="493"/>
      <c r="E6" s="493"/>
      <c r="F6" s="493"/>
      <c r="G6" s="493"/>
      <c r="H6" s="493"/>
      <c r="I6" s="493"/>
      <c r="J6" s="493"/>
      <c r="K6" s="493"/>
      <c r="L6" s="493"/>
      <c r="M6" s="493"/>
    </row>
    <row r="7" spans="1:48" s="88" customFormat="1" ht="16.5" customHeight="1">
      <c r="A7" s="89" t="s">
        <v>1223</v>
      </c>
      <c r="B7" s="92" t="s">
        <v>2418</v>
      </c>
      <c r="C7" s="493" t="s">
        <v>4192</v>
      </c>
      <c r="D7" s="493"/>
      <c r="E7" s="493"/>
      <c r="F7" s="493"/>
      <c r="G7" s="493"/>
      <c r="H7" s="493"/>
      <c r="I7" s="493"/>
      <c r="J7" s="493"/>
      <c r="K7" s="493"/>
      <c r="L7" s="493"/>
      <c r="M7" s="493"/>
    </row>
    <row r="8" spans="1:48" s="88" customFormat="1" ht="24.75" customHeight="1">
      <c r="A8" s="89"/>
      <c r="B8" s="92" t="s">
        <v>4193</v>
      </c>
      <c r="C8" s="493" t="s">
        <v>4194</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62.25" customHeight="1">
      <c r="A11" s="89" t="s">
        <v>1229</v>
      </c>
      <c r="B11" s="493" t="s">
        <v>4195</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4196</v>
      </c>
      <c r="C17" s="518"/>
      <c r="D17" s="51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2205</v>
      </c>
      <c r="C18" s="96" t="s">
        <v>4197</v>
      </c>
      <c r="D18" s="97" t="s">
        <v>4198</v>
      </c>
      <c r="E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05">
        <v>9</v>
      </c>
      <c r="C19" s="113">
        <v>4</v>
      </c>
      <c r="D19" s="107">
        <f>CHIDIST(B19,C19)</f>
        <v>6.1099480960332686E-2</v>
      </c>
      <c r="E19" s="108" t="s">
        <v>4199</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770</v>
      </c>
      <c r="B100" s="498"/>
      <c r="C100" s="499"/>
      <c r="D100" s="87"/>
      <c r="E100" s="500" t="str">
        <f>HYPERLINK("#目录!A312","跳转回到目录页")</f>
        <v>跳转回到目录页</v>
      </c>
      <c r="F100" s="501"/>
    </row>
    <row r="101" spans="1:13" s="88" customFormat="1" ht="26.25" customHeight="1">
      <c r="A101" s="502" t="s">
        <v>1216</v>
      </c>
      <c r="B101" s="502"/>
      <c r="C101" s="503" t="s">
        <v>513</v>
      </c>
      <c r="D101" s="503"/>
      <c r="E101" s="503"/>
      <c r="F101" s="503"/>
      <c r="G101" s="503"/>
      <c r="H101" s="503"/>
      <c r="I101" s="503"/>
      <c r="J101" s="503"/>
      <c r="K101" s="503"/>
      <c r="L101" s="503"/>
      <c r="M101" s="503"/>
    </row>
    <row r="102" spans="1:13" s="88" customFormat="1" ht="24.75" customHeight="1">
      <c r="A102" s="496" t="s">
        <v>1217</v>
      </c>
      <c r="B102" s="496"/>
      <c r="C102" s="493" t="s">
        <v>4200</v>
      </c>
      <c r="D102" s="493"/>
      <c r="E102" s="493"/>
      <c r="F102" s="493"/>
      <c r="G102" s="493"/>
      <c r="H102" s="493"/>
      <c r="I102" s="493"/>
      <c r="J102" s="493"/>
      <c r="K102" s="493"/>
      <c r="L102" s="493"/>
      <c r="M102" s="493"/>
    </row>
    <row r="103" spans="1:13" s="88" customFormat="1" ht="16.5" customHeight="1">
      <c r="A103" s="496" t="s">
        <v>5786</v>
      </c>
      <c r="B103" s="496"/>
      <c r="C103" s="497" t="s">
        <v>513</v>
      </c>
      <c r="D103" s="497"/>
      <c r="E103" s="497"/>
      <c r="F103" s="497"/>
      <c r="G103" s="497"/>
      <c r="H103" s="497"/>
      <c r="I103" s="497"/>
      <c r="J103" s="497"/>
      <c r="K103" s="497"/>
      <c r="L103" s="497"/>
      <c r="M103" s="497"/>
    </row>
    <row r="104" spans="1:13" s="88" customFormat="1" ht="16.5" customHeight="1">
      <c r="A104" s="496" t="s">
        <v>1220</v>
      </c>
      <c r="B104" s="496"/>
      <c r="C104" s="493" t="s">
        <v>4201</v>
      </c>
      <c r="D104" s="493"/>
      <c r="E104" s="493"/>
      <c r="F104" s="493"/>
      <c r="G104" s="493"/>
      <c r="H104" s="493"/>
      <c r="I104" s="493"/>
      <c r="J104" s="493"/>
      <c r="K104" s="493"/>
      <c r="L104" s="493"/>
      <c r="M104" s="493"/>
    </row>
    <row r="105" spans="1:13" s="88" customFormat="1" ht="16.5" customHeight="1">
      <c r="A105" s="496" t="s">
        <v>5785</v>
      </c>
      <c r="B105" s="496"/>
      <c r="C105" s="493" t="s">
        <v>4202</v>
      </c>
      <c r="D105" s="493"/>
      <c r="E105" s="493"/>
      <c r="F105" s="493"/>
      <c r="G105" s="493"/>
      <c r="H105" s="493"/>
      <c r="I105" s="493"/>
      <c r="J105" s="493"/>
      <c r="K105" s="493"/>
      <c r="L105" s="493"/>
      <c r="M105" s="493"/>
    </row>
    <row r="106" spans="1:13" s="88" customFormat="1" ht="16.5" customHeight="1">
      <c r="A106" s="89" t="s">
        <v>1223</v>
      </c>
      <c r="B106" s="92" t="s">
        <v>4156</v>
      </c>
      <c r="C106" s="493" t="s">
        <v>4203</v>
      </c>
      <c r="D106" s="493"/>
      <c r="E106" s="493"/>
      <c r="F106" s="493"/>
      <c r="G106" s="493"/>
      <c r="H106" s="493"/>
      <c r="I106" s="493"/>
      <c r="J106" s="493"/>
      <c r="K106" s="493"/>
      <c r="L106" s="493"/>
      <c r="M106" s="493"/>
    </row>
    <row r="107" spans="1:13" s="88" customFormat="1" ht="24.75" customHeight="1">
      <c r="A107" s="89"/>
      <c r="B107" s="92" t="s">
        <v>4193</v>
      </c>
      <c r="C107" s="493" t="s">
        <v>4194</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78" customHeight="1">
      <c r="A110" s="89" t="s">
        <v>1229</v>
      </c>
      <c r="B110" s="493" t="s">
        <v>4204</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1" s="93" customFormat="1" ht="16.5" customHeight="1">
      <c r="A113" s="94" t="s">
        <v>1232</v>
      </c>
      <c r="B113" s="93" t="s">
        <v>1773</v>
      </c>
    </row>
    <row r="114" spans="1:11" ht="16.5" customHeight="1">
      <c r="B114" s="93"/>
      <c r="C114" s="93"/>
      <c r="D114" s="93"/>
      <c r="E114" s="93"/>
      <c r="F114" s="93"/>
      <c r="G114" s="93"/>
      <c r="H114" s="93"/>
      <c r="I114" s="93"/>
      <c r="J114" s="93"/>
      <c r="K114" s="93"/>
    </row>
    <row r="115" spans="1:11" ht="16.5" customHeight="1">
      <c r="B115" s="93"/>
      <c r="C115" s="93"/>
      <c r="D115" s="93"/>
      <c r="E115" s="93"/>
      <c r="F115" s="93"/>
      <c r="G115" s="93"/>
      <c r="H115" s="93"/>
      <c r="I115" s="93"/>
      <c r="J115" s="93"/>
      <c r="K115" s="93"/>
    </row>
    <row r="116" spans="1:11" ht="16.5" customHeight="1">
      <c r="B116" s="518" t="s">
        <v>512</v>
      </c>
      <c r="C116" s="518"/>
      <c r="D116" s="518"/>
      <c r="E116" s="93"/>
      <c r="F116" s="93"/>
      <c r="G116" s="93"/>
      <c r="H116" s="93"/>
      <c r="I116" s="93"/>
      <c r="J116" s="93"/>
      <c r="K116" s="93"/>
    </row>
    <row r="117" spans="1:11" ht="16.5" customHeight="1">
      <c r="B117" s="95" t="s">
        <v>4198</v>
      </c>
      <c r="C117" s="96" t="s">
        <v>4197</v>
      </c>
      <c r="D117" s="97" t="s">
        <v>5810</v>
      </c>
      <c r="E117" s="104" t="s">
        <v>1238</v>
      </c>
      <c r="F117" s="93"/>
      <c r="G117" s="93"/>
      <c r="H117" s="93"/>
      <c r="I117" s="93"/>
      <c r="J117" s="93"/>
      <c r="K117" s="93"/>
    </row>
    <row r="118" spans="1:11" ht="16.5" customHeight="1">
      <c r="B118" s="105">
        <v>0.05</v>
      </c>
      <c r="C118" s="113">
        <v>4</v>
      </c>
      <c r="D118" s="107">
        <f>CHIINV(B118,C118)</f>
        <v>9.4877290367811575</v>
      </c>
      <c r="E118" s="108" t="s">
        <v>4205</v>
      </c>
      <c r="F118" s="93"/>
      <c r="G118" s="93"/>
      <c r="H118" s="93"/>
      <c r="I118" s="93"/>
      <c r="J118" s="93"/>
      <c r="K118" s="93"/>
    </row>
    <row r="119" spans="1:11" ht="16.5" customHeight="1">
      <c r="B119" s="93"/>
      <c r="C119" s="93"/>
      <c r="D119" s="93"/>
      <c r="E119" s="93"/>
      <c r="F119" s="93"/>
      <c r="G119" s="93"/>
      <c r="H119" s="93"/>
      <c r="I119" s="93"/>
      <c r="J119" s="93"/>
      <c r="K119" s="93"/>
    </row>
    <row r="120" spans="1:11" ht="16.5" customHeight="1">
      <c r="B120" s="93"/>
      <c r="C120" s="93"/>
      <c r="D120" s="93"/>
      <c r="E120" s="93"/>
      <c r="F120" s="93"/>
      <c r="G120" s="93"/>
      <c r="H120" s="93"/>
      <c r="I120" s="93"/>
      <c r="J120" s="93"/>
      <c r="K120" s="93"/>
    </row>
    <row r="121" spans="1:11">
      <c r="B121" s="93"/>
      <c r="C121" s="93"/>
      <c r="D121" s="93"/>
      <c r="E121" s="93"/>
      <c r="F121" s="93"/>
      <c r="G121" s="93"/>
      <c r="H121" s="93"/>
      <c r="I121" s="93"/>
      <c r="J121" s="93"/>
      <c r="K121" s="93"/>
    </row>
    <row r="200" spans="1:13" s="88" customFormat="1" ht="26.25" customHeight="1">
      <c r="A200" s="498" t="s">
        <v>771</v>
      </c>
      <c r="B200" s="498"/>
      <c r="C200" s="499"/>
      <c r="D200" s="87"/>
      <c r="E200" s="500" t="str">
        <f>HYPERLINK("#目录!A313","跳转回到目录页")</f>
        <v>跳转回到目录页</v>
      </c>
      <c r="F200" s="501"/>
    </row>
    <row r="201" spans="1:13" s="88" customFormat="1" ht="26.25" customHeight="1">
      <c r="A201" s="502" t="s">
        <v>1216</v>
      </c>
      <c r="B201" s="502"/>
      <c r="C201" s="503" t="s">
        <v>514</v>
      </c>
      <c r="D201" s="503"/>
      <c r="E201" s="503"/>
      <c r="F201" s="503"/>
      <c r="G201" s="503"/>
      <c r="H201" s="503"/>
      <c r="I201" s="503"/>
      <c r="J201" s="503"/>
      <c r="K201" s="503"/>
      <c r="L201" s="503"/>
      <c r="M201" s="503"/>
    </row>
    <row r="202" spans="1:13" s="88" customFormat="1" ht="16.5" customHeight="1">
      <c r="A202" s="496" t="s">
        <v>1217</v>
      </c>
      <c r="B202" s="496"/>
      <c r="C202" s="493" t="s">
        <v>4206</v>
      </c>
      <c r="D202" s="493"/>
      <c r="E202" s="493"/>
      <c r="F202" s="493"/>
      <c r="G202" s="493"/>
      <c r="H202" s="493"/>
      <c r="I202" s="493"/>
      <c r="J202" s="493"/>
      <c r="K202" s="493"/>
      <c r="L202" s="493"/>
      <c r="M202" s="493"/>
    </row>
    <row r="203" spans="1:13" s="88" customFormat="1" ht="16.5" customHeight="1">
      <c r="A203" s="496" t="s">
        <v>5786</v>
      </c>
      <c r="B203" s="496"/>
      <c r="C203" s="497" t="s">
        <v>514</v>
      </c>
      <c r="D203" s="497"/>
      <c r="E203" s="497"/>
      <c r="F203" s="497"/>
      <c r="G203" s="497"/>
      <c r="H203" s="497"/>
      <c r="I203" s="497"/>
      <c r="J203" s="497"/>
      <c r="K203" s="497"/>
      <c r="L203" s="497"/>
      <c r="M203" s="497"/>
    </row>
    <row r="204" spans="1:13" s="88" customFormat="1" ht="16.5" customHeight="1">
      <c r="A204" s="496" t="s">
        <v>1220</v>
      </c>
      <c r="B204" s="496"/>
      <c r="C204" s="493" t="s">
        <v>4207</v>
      </c>
      <c r="D204" s="493"/>
      <c r="E204" s="493"/>
      <c r="F204" s="493"/>
      <c r="G204" s="493"/>
      <c r="H204" s="493"/>
      <c r="I204" s="493"/>
      <c r="J204" s="493"/>
      <c r="K204" s="493"/>
      <c r="L204" s="493"/>
      <c r="M204" s="493"/>
    </row>
    <row r="205" spans="1:13" s="88" customFormat="1" ht="16.5" customHeight="1">
      <c r="A205" s="496" t="s">
        <v>5785</v>
      </c>
      <c r="B205" s="496"/>
      <c r="C205" s="493" t="s">
        <v>4208</v>
      </c>
      <c r="D205" s="493"/>
      <c r="E205" s="493"/>
      <c r="F205" s="493"/>
      <c r="G205" s="493"/>
      <c r="H205" s="493"/>
      <c r="I205" s="493"/>
      <c r="J205" s="493"/>
      <c r="K205" s="493"/>
      <c r="L205" s="493"/>
      <c r="M205" s="493"/>
    </row>
    <row r="206" spans="1:13" s="88" customFormat="1" ht="24.75" customHeight="1">
      <c r="A206" s="89" t="s">
        <v>1223</v>
      </c>
      <c r="B206" s="92" t="s">
        <v>4209</v>
      </c>
      <c r="C206" s="493" t="s">
        <v>4210</v>
      </c>
      <c r="D206" s="493"/>
      <c r="E206" s="493"/>
      <c r="F206" s="493"/>
      <c r="G206" s="493"/>
      <c r="H206" s="493"/>
      <c r="I206" s="493"/>
      <c r="J206" s="493"/>
      <c r="K206" s="493"/>
      <c r="L206" s="493"/>
      <c r="M206" s="493"/>
    </row>
    <row r="207" spans="1:13" s="88" customFormat="1" ht="24.75" customHeight="1">
      <c r="A207" s="89"/>
      <c r="B207" s="92" t="s">
        <v>4211</v>
      </c>
      <c r="C207" s="493" t="s">
        <v>4212</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16.5" customHeight="1">
      <c r="A210" s="89" t="s">
        <v>1229</v>
      </c>
      <c r="B210" s="493" t="s">
        <v>4213</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B214" s="93"/>
      <c r="C214" s="93"/>
      <c r="D214" s="93"/>
      <c r="E214" s="93"/>
      <c r="F214" s="93"/>
      <c r="G214" s="93"/>
      <c r="H214" s="93"/>
      <c r="I214" s="93"/>
      <c r="J214" s="93"/>
      <c r="K214" s="93"/>
      <c r="L214" s="93"/>
    </row>
    <row r="215" spans="1:13" ht="16.5" customHeight="1">
      <c r="B215" s="93"/>
      <c r="C215" s="93"/>
      <c r="D215" s="93"/>
      <c r="E215" s="93"/>
      <c r="F215" s="93"/>
      <c r="G215" s="93"/>
      <c r="H215" s="93"/>
      <c r="I215" s="93"/>
      <c r="J215" s="93"/>
      <c r="K215" s="93"/>
      <c r="L215" s="93"/>
    </row>
    <row r="216" spans="1:13" ht="16.5" customHeight="1">
      <c r="B216" s="93" t="s">
        <v>4214</v>
      </c>
      <c r="C216" s="93"/>
      <c r="D216" s="93"/>
      <c r="E216" s="93"/>
      <c r="F216" s="93"/>
      <c r="G216" s="93"/>
      <c r="H216" s="93"/>
      <c r="I216" s="93"/>
      <c r="J216" s="93"/>
      <c r="K216" s="93"/>
      <c r="L216" s="93"/>
    </row>
    <row r="217" spans="1:13" ht="16.5" customHeight="1">
      <c r="B217" s="95" t="s">
        <v>4215</v>
      </c>
      <c r="C217" s="96" t="s">
        <v>4216</v>
      </c>
      <c r="D217" s="96" t="s">
        <v>4217</v>
      </c>
      <c r="E217" s="97" t="s">
        <v>4218</v>
      </c>
      <c r="F217" s="93"/>
      <c r="G217" s="94" t="s">
        <v>4219</v>
      </c>
      <c r="H217" s="104" t="s">
        <v>1238</v>
      </c>
      <c r="I217" s="93"/>
      <c r="J217" s="93"/>
      <c r="K217" s="93"/>
      <c r="L217" s="93"/>
    </row>
    <row r="218" spans="1:13" ht="16.5" customHeight="1">
      <c r="B218" s="99">
        <v>0</v>
      </c>
      <c r="C218" s="110">
        <v>255</v>
      </c>
      <c r="D218" s="110">
        <v>0</v>
      </c>
      <c r="E218" s="185">
        <v>264.17399999999998</v>
      </c>
      <c r="F218" s="93"/>
      <c r="G218" s="93">
        <f>CHITEST(C218:C223,E218:E223)</f>
        <v>0.22636982811954195</v>
      </c>
      <c r="H218" s="108" t="s">
        <v>4220</v>
      </c>
      <c r="I218" s="93"/>
      <c r="J218" s="93"/>
      <c r="K218" s="93"/>
      <c r="L218" s="93"/>
    </row>
    <row r="219" spans="1:13" ht="16.5" customHeight="1">
      <c r="B219" s="99">
        <v>1</v>
      </c>
      <c r="C219" s="110">
        <v>184</v>
      </c>
      <c r="D219" s="110">
        <v>184</v>
      </c>
      <c r="E219" s="185">
        <v>168.54300000000001</v>
      </c>
      <c r="F219" s="93"/>
      <c r="H219" s="93"/>
      <c r="I219" s="93"/>
      <c r="J219" s="93"/>
      <c r="K219" s="93"/>
      <c r="L219" s="93"/>
    </row>
    <row r="220" spans="1:13" ht="16.5" customHeight="1">
      <c r="B220" s="99">
        <v>2</v>
      </c>
      <c r="C220" s="110">
        <v>52</v>
      </c>
      <c r="D220" s="110">
        <v>104</v>
      </c>
      <c r="E220" s="185">
        <v>53.7652</v>
      </c>
      <c r="F220" s="93"/>
      <c r="G220" s="93"/>
      <c r="H220" s="93"/>
      <c r="I220" s="93"/>
      <c r="J220" s="93"/>
      <c r="K220" s="93"/>
      <c r="L220" s="93"/>
    </row>
    <row r="221" spans="1:13" ht="16.5" customHeight="1">
      <c r="B221" s="99">
        <v>3</v>
      </c>
      <c r="C221" s="110">
        <v>6</v>
      </c>
      <c r="D221" s="110">
        <v>18</v>
      </c>
      <c r="E221" s="185">
        <v>11.434100000000001</v>
      </c>
      <c r="F221" s="93"/>
      <c r="G221" s="93"/>
      <c r="H221" s="93"/>
      <c r="I221" s="93"/>
      <c r="J221" s="93"/>
      <c r="K221" s="93"/>
      <c r="L221" s="93"/>
    </row>
    <row r="222" spans="1:13" ht="16.5" customHeight="1">
      <c r="B222" s="99">
        <v>4</v>
      </c>
      <c r="C222" s="110">
        <v>2</v>
      </c>
      <c r="D222" s="110">
        <v>8</v>
      </c>
      <c r="E222" s="185">
        <v>1.8237000000000001</v>
      </c>
      <c r="F222" s="93"/>
      <c r="G222" s="93"/>
      <c r="H222" s="93"/>
      <c r="I222" s="93"/>
      <c r="J222" s="93"/>
      <c r="K222" s="93"/>
      <c r="L222" s="93"/>
    </row>
    <row r="223" spans="1:13" ht="16.5" customHeight="1">
      <c r="B223" s="99">
        <v>5</v>
      </c>
      <c r="C223" s="110">
        <v>1</v>
      </c>
      <c r="D223" s="110">
        <v>5</v>
      </c>
      <c r="E223" s="185">
        <v>0.23269999999999999</v>
      </c>
      <c r="F223" s="93"/>
      <c r="G223" s="93"/>
      <c r="H223" s="93"/>
      <c r="I223" s="93"/>
      <c r="J223" s="93"/>
      <c r="K223" s="93"/>
      <c r="L223" s="93"/>
    </row>
    <row r="224" spans="1:13" ht="16.5" customHeight="1">
      <c r="B224" s="111" t="s">
        <v>1521</v>
      </c>
      <c r="C224" s="110">
        <f>SUM(C218:C223)</f>
        <v>500</v>
      </c>
      <c r="D224" s="110">
        <f>SUM(D218:D223)</f>
        <v>319</v>
      </c>
      <c r="E224" s="185">
        <f>SUM(E218:E223)</f>
        <v>499.97269999999997</v>
      </c>
      <c r="F224" s="165"/>
      <c r="G224" s="93"/>
      <c r="H224" s="93"/>
      <c r="I224" s="93"/>
      <c r="J224" s="93"/>
      <c r="K224" s="93"/>
      <c r="L224" s="93"/>
    </row>
    <row r="225" spans="2:12">
      <c r="B225" s="151" t="s">
        <v>3594</v>
      </c>
      <c r="C225" s="113"/>
      <c r="D225" s="186">
        <v>0.63800000000000001</v>
      </c>
      <c r="E225" s="107"/>
      <c r="F225" s="93"/>
      <c r="G225" s="93"/>
      <c r="H225" s="93"/>
      <c r="I225" s="93"/>
      <c r="J225" s="93"/>
      <c r="K225" s="93"/>
      <c r="L225" s="93"/>
    </row>
  </sheetData>
  <mergeCells count="56">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D17"/>
    <mergeCell ref="A100:C100"/>
    <mergeCell ref="E100:F100"/>
    <mergeCell ref="A101:B101"/>
    <mergeCell ref="C101:M101"/>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6:D116"/>
    <mergeCell ref="A200:C200"/>
    <mergeCell ref="E200:F200"/>
    <mergeCell ref="A201:B201"/>
    <mergeCell ref="C201:M201"/>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headerFooter scaleWithDoc="0"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dimension ref="A1:AV234"/>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1161</v>
      </c>
      <c r="B1" s="498"/>
      <c r="C1" s="499"/>
      <c r="D1" s="87"/>
      <c r="E1" s="500" t="str">
        <f>HYPERLINK("#目录!A315","跳转回到目录页")</f>
        <v>跳转回到目录页</v>
      </c>
      <c r="F1" s="501"/>
    </row>
    <row r="2" spans="1:48" s="88" customFormat="1" ht="26.25" customHeight="1">
      <c r="A2" s="502" t="s">
        <v>1216</v>
      </c>
      <c r="B2" s="502"/>
      <c r="C2" s="503" t="s">
        <v>516</v>
      </c>
      <c r="D2" s="503"/>
      <c r="E2" s="503"/>
      <c r="F2" s="503"/>
      <c r="G2" s="503"/>
      <c r="H2" s="503"/>
      <c r="I2" s="503"/>
      <c r="J2" s="503"/>
      <c r="K2" s="503"/>
      <c r="L2" s="503"/>
      <c r="M2" s="503"/>
    </row>
    <row r="3" spans="1:48" s="88" customFormat="1" ht="24.75" customHeight="1">
      <c r="A3" s="496" t="s">
        <v>1217</v>
      </c>
      <c r="B3" s="496"/>
      <c r="C3" s="493" t="s">
        <v>4221</v>
      </c>
      <c r="D3" s="493"/>
      <c r="E3" s="493"/>
      <c r="F3" s="493"/>
      <c r="G3" s="493"/>
      <c r="H3" s="493"/>
      <c r="I3" s="493"/>
      <c r="J3" s="493"/>
      <c r="K3" s="493"/>
      <c r="L3" s="493"/>
      <c r="M3" s="493"/>
    </row>
    <row r="4" spans="1:48" s="88" customFormat="1" ht="16.5" customHeight="1">
      <c r="A4" s="496" t="s">
        <v>5786</v>
      </c>
      <c r="B4" s="496"/>
      <c r="C4" s="497" t="s">
        <v>516</v>
      </c>
      <c r="D4" s="497"/>
      <c r="E4" s="497"/>
      <c r="F4" s="497"/>
      <c r="G4" s="497"/>
      <c r="H4" s="497"/>
      <c r="I4" s="497"/>
      <c r="J4" s="497"/>
      <c r="K4" s="497"/>
      <c r="L4" s="497"/>
      <c r="M4" s="497"/>
    </row>
    <row r="5" spans="1:48" s="88" customFormat="1" ht="16.5" customHeight="1">
      <c r="A5" s="496" t="s">
        <v>1220</v>
      </c>
      <c r="B5" s="496"/>
      <c r="C5" s="493" t="s">
        <v>4222</v>
      </c>
      <c r="D5" s="493"/>
      <c r="E5" s="493"/>
      <c r="F5" s="493"/>
      <c r="G5" s="493"/>
      <c r="H5" s="493"/>
      <c r="I5" s="493"/>
      <c r="J5" s="493"/>
      <c r="K5" s="493"/>
      <c r="L5" s="493"/>
      <c r="M5" s="493"/>
    </row>
    <row r="6" spans="1:48" s="88" customFormat="1" ht="16.5" customHeight="1">
      <c r="A6" s="496" t="s">
        <v>5785</v>
      </c>
      <c r="B6" s="496"/>
      <c r="C6" s="493" t="s">
        <v>4223</v>
      </c>
      <c r="D6" s="493"/>
      <c r="E6" s="493"/>
      <c r="F6" s="493"/>
      <c r="G6" s="493"/>
      <c r="H6" s="493"/>
      <c r="I6" s="493"/>
      <c r="J6" s="493"/>
      <c r="K6" s="493"/>
      <c r="L6" s="493"/>
      <c r="M6" s="493"/>
    </row>
    <row r="7" spans="1:48" s="88" customFormat="1" ht="16.5" customHeight="1">
      <c r="A7" s="89" t="s">
        <v>1223</v>
      </c>
      <c r="B7" s="92" t="s">
        <v>2418</v>
      </c>
      <c r="C7" s="493" t="s">
        <v>4224</v>
      </c>
      <c r="D7" s="493"/>
      <c r="E7" s="493"/>
      <c r="F7" s="493"/>
      <c r="G7" s="493"/>
      <c r="H7" s="493"/>
      <c r="I7" s="493"/>
      <c r="J7" s="493"/>
      <c r="K7" s="493"/>
      <c r="L7" s="493"/>
      <c r="M7" s="493"/>
    </row>
    <row r="8" spans="1:48" s="88" customFormat="1" ht="24.75" customHeight="1">
      <c r="A8" s="89"/>
      <c r="B8" s="92" t="s">
        <v>4193</v>
      </c>
      <c r="C8" s="493" t="s">
        <v>4225</v>
      </c>
      <c r="D8" s="493"/>
      <c r="E8" s="493"/>
      <c r="F8" s="493"/>
      <c r="G8" s="493"/>
      <c r="H8" s="493"/>
      <c r="I8" s="493"/>
      <c r="J8" s="493"/>
      <c r="K8" s="493"/>
      <c r="L8" s="493"/>
      <c r="M8" s="493"/>
    </row>
    <row r="9" spans="1:48" s="88" customFormat="1" ht="16.5" customHeight="1">
      <c r="A9" s="89"/>
      <c r="B9" s="90" t="s">
        <v>4226</v>
      </c>
      <c r="C9" s="493" t="s">
        <v>4227</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89.25" customHeight="1">
      <c r="A11" s="89" t="s">
        <v>1229</v>
      </c>
      <c r="B11" s="493" t="s">
        <v>4228</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65" t="s">
        <v>4229</v>
      </c>
      <c r="C17" s="565"/>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4230</v>
      </c>
      <c r="C18" s="97" t="s">
        <v>4197</v>
      </c>
      <c r="D18" s="94" t="s">
        <v>4231</v>
      </c>
      <c r="E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05">
        <v>4</v>
      </c>
      <c r="C19" s="107">
        <v>10</v>
      </c>
      <c r="D19" s="93">
        <f>TDIST(B19,C19,1)</f>
        <v>1.2591663123683464E-3</v>
      </c>
      <c r="E19" s="108" t="s">
        <v>4232</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1166</v>
      </c>
      <c r="B100" s="498"/>
      <c r="C100" s="499"/>
      <c r="D100" s="87"/>
      <c r="E100" s="500" t="str">
        <f>HYPERLINK("#目录!A316","跳转回到目录页")</f>
        <v>跳转回到目录页</v>
      </c>
      <c r="F100" s="501"/>
    </row>
    <row r="101" spans="1:13" s="88" customFormat="1" ht="26.25" customHeight="1">
      <c r="A101" s="502" t="s">
        <v>1216</v>
      </c>
      <c r="B101" s="502"/>
      <c r="C101" s="503" t="s">
        <v>517</v>
      </c>
      <c r="D101" s="503"/>
      <c r="E101" s="503"/>
      <c r="F101" s="503"/>
      <c r="G101" s="503"/>
      <c r="H101" s="503"/>
      <c r="I101" s="503"/>
      <c r="J101" s="503"/>
      <c r="K101" s="503"/>
      <c r="L101" s="503"/>
      <c r="M101" s="503"/>
    </row>
    <row r="102" spans="1:13" s="88" customFormat="1" ht="16.5" customHeight="1">
      <c r="A102" s="496" t="s">
        <v>1217</v>
      </c>
      <c r="B102" s="496"/>
      <c r="C102" s="493" t="s">
        <v>4233</v>
      </c>
      <c r="D102" s="493"/>
      <c r="E102" s="493"/>
      <c r="F102" s="493"/>
      <c r="G102" s="493"/>
      <c r="H102" s="493"/>
      <c r="I102" s="493"/>
      <c r="J102" s="493"/>
      <c r="K102" s="493"/>
      <c r="L102" s="493"/>
      <c r="M102" s="493"/>
    </row>
    <row r="103" spans="1:13" s="88" customFormat="1" ht="16.5" customHeight="1">
      <c r="A103" s="496" t="s">
        <v>5786</v>
      </c>
      <c r="B103" s="496"/>
      <c r="C103" s="493" t="s">
        <v>4234</v>
      </c>
      <c r="D103" s="493"/>
      <c r="E103" s="493"/>
      <c r="F103" s="493"/>
      <c r="G103" s="493"/>
      <c r="H103" s="493"/>
      <c r="I103" s="493"/>
      <c r="J103" s="493"/>
      <c r="K103" s="493"/>
      <c r="L103" s="493"/>
      <c r="M103" s="493"/>
    </row>
    <row r="104" spans="1:13" s="88" customFormat="1" ht="16.5" customHeight="1">
      <c r="A104" s="496" t="s">
        <v>1220</v>
      </c>
      <c r="B104" s="496"/>
      <c r="C104" s="493" t="s">
        <v>4235</v>
      </c>
      <c r="D104" s="493"/>
      <c r="E104" s="493"/>
      <c r="F104" s="493"/>
      <c r="G104" s="493"/>
      <c r="H104" s="493"/>
      <c r="I104" s="493"/>
      <c r="J104" s="493"/>
      <c r="K104" s="493"/>
      <c r="L104" s="493"/>
      <c r="M104" s="493"/>
    </row>
    <row r="105" spans="1:13" s="88" customFormat="1" ht="16.5" customHeight="1">
      <c r="A105" s="496" t="s">
        <v>5785</v>
      </c>
      <c r="B105" s="496"/>
      <c r="C105" s="493" t="s">
        <v>4236</v>
      </c>
      <c r="D105" s="493"/>
      <c r="E105" s="493"/>
      <c r="F105" s="493"/>
      <c r="G105" s="493"/>
      <c r="H105" s="493"/>
      <c r="I105" s="493"/>
      <c r="J105" s="493"/>
      <c r="K105" s="493"/>
      <c r="L105" s="493"/>
      <c r="M105" s="493"/>
    </row>
    <row r="106" spans="1:13" s="88" customFormat="1" ht="16.5" customHeight="1">
      <c r="A106" s="89" t="s">
        <v>1223</v>
      </c>
      <c r="B106" s="92" t="s">
        <v>4156</v>
      </c>
      <c r="C106" s="493" t="s">
        <v>4237</v>
      </c>
      <c r="D106" s="493"/>
      <c r="E106" s="493"/>
      <c r="F106" s="493"/>
      <c r="G106" s="493"/>
      <c r="H106" s="493"/>
      <c r="I106" s="493"/>
      <c r="J106" s="493"/>
      <c r="K106" s="493"/>
      <c r="L106" s="493"/>
      <c r="M106" s="493"/>
    </row>
    <row r="107" spans="1:13" s="88" customFormat="1" ht="24.75" customHeight="1">
      <c r="A107" s="89"/>
      <c r="B107" s="92" t="s">
        <v>4193</v>
      </c>
      <c r="C107" s="493" t="s">
        <v>4238</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26" customHeight="1">
      <c r="A110" s="89" t="s">
        <v>1229</v>
      </c>
      <c r="B110" s="493" t="s">
        <v>4239</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0" s="93" customFormat="1" ht="16.5" customHeight="1">
      <c r="A113" s="94" t="s">
        <v>1232</v>
      </c>
      <c r="B113" s="93" t="s">
        <v>1773</v>
      </c>
      <c r="F113" s="4"/>
    </row>
    <row r="114" spans="1:10" ht="16.5" customHeight="1"/>
    <row r="115" spans="1:10" ht="16.5" customHeight="1">
      <c r="B115" s="93"/>
      <c r="C115" s="93"/>
      <c r="D115" s="93"/>
      <c r="E115" s="93"/>
      <c r="F115" s="93"/>
      <c r="G115" s="93"/>
      <c r="H115" s="93"/>
      <c r="I115" s="93"/>
      <c r="J115" s="93"/>
    </row>
    <row r="116" spans="1:10" ht="16.5" customHeight="1">
      <c r="B116" s="518" t="s">
        <v>4240</v>
      </c>
      <c r="C116" s="518"/>
      <c r="D116" s="518"/>
      <c r="E116" s="93"/>
      <c r="F116" s="93"/>
      <c r="G116" s="93"/>
      <c r="H116" s="93"/>
      <c r="I116" s="93"/>
      <c r="J116" s="93"/>
    </row>
    <row r="117" spans="1:10" ht="16.5" customHeight="1">
      <c r="B117" s="95" t="s">
        <v>4241</v>
      </c>
      <c r="C117" s="96" t="s">
        <v>4197</v>
      </c>
      <c r="D117" s="97" t="s">
        <v>4242</v>
      </c>
      <c r="E117" s="104" t="s">
        <v>1238</v>
      </c>
      <c r="F117" s="93"/>
      <c r="G117" s="93"/>
      <c r="H117" s="93"/>
      <c r="I117" s="93"/>
      <c r="J117" s="93"/>
    </row>
    <row r="118" spans="1:10" ht="16.5" customHeight="1">
      <c r="B118" s="105">
        <v>0.05</v>
      </c>
      <c r="C118" s="113">
        <v>10</v>
      </c>
      <c r="D118" s="107">
        <f>TINV(B118,C118)</f>
        <v>2.2281388519862744</v>
      </c>
      <c r="E118" s="108" t="s">
        <v>4243</v>
      </c>
      <c r="F118" s="93"/>
      <c r="G118" s="93"/>
      <c r="H118" s="93"/>
      <c r="I118" s="93"/>
      <c r="J118" s="93"/>
    </row>
    <row r="119" spans="1:10" ht="16.5" customHeight="1">
      <c r="B119" s="93"/>
      <c r="C119" s="93"/>
      <c r="D119" s="93"/>
      <c r="E119" s="93"/>
      <c r="F119" s="93"/>
      <c r="G119" s="93"/>
      <c r="H119" s="93"/>
      <c r="I119" s="93"/>
      <c r="J119" s="93"/>
    </row>
    <row r="200" spans="1:13" s="88" customFormat="1" ht="26.25" customHeight="1">
      <c r="A200" s="498" t="s">
        <v>1175</v>
      </c>
      <c r="B200" s="498"/>
      <c r="C200" s="499"/>
      <c r="D200" s="87"/>
      <c r="E200" s="500" t="str">
        <f>HYPERLINK("#目录!A317","跳转回到目录页")</f>
        <v>跳转回到目录页</v>
      </c>
      <c r="F200" s="501"/>
    </row>
    <row r="201" spans="1:13" s="88" customFormat="1" ht="26.25" customHeight="1">
      <c r="A201" s="502" t="s">
        <v>1216</v>
      </c>
      <c r="B201" s="502"/>
      <c r="C201" s="503" t="s">
        <v>518</v>
      </c>
      <c r="D201" s="503"/>
      <c r="E201" s="503"/>
      <c r="F201" s="503"/>
      <c r="G201" s="503"/>
      <c r="H201" s="503"/>
      <c r="I201" s="503"/>
      <c r="J201" s="503"/>
      <c r="K201" s="503"/>
      <c r="L201" s="503"/>
      <c r="M201" s="503"/>
    </row>
    <row r="202" spans="1:13" s="88" customFormat="1" ht="16.5" customHeight="1">
      <c r="A202" s="496" t="s">
        <v>1217</v>
      </c>
      <c r="B202" s="496"/>
      <c r="C202" s="493" t="s">
        <v>4244</v>
      </c>
      <c r="D202" s="493"/>
      <c r="E202" s="493"/>
      <c r="F202" s="493"/>
      <c r="G202" s="493"/>
      <c r="H202" s="493"/>
      <c r="I202" s="493"/>
      <c r="J202" s="493"/>
      <c r="K202" s="493"/>
      <c r="L202" s="493"/>
      <c r="M202" s="493"/>
    </row>
    <row r="203" spans="1:13" s="88" customFormat="1" ht="16.5" customHeight="1">
      <c r="A203" s="496" t="s">
        <v>5786</v>
      </c>
      <c r="B203" s="496"/>
      <c r="C203" s="497" t="s">
        <v>518</v>
      </c>
      <c r="D203" s="497"/>
      <c r="E203" s="497"/>
      <c r="F203" s="497"/>
      <c r="G203" s="497"/>
      <c r="H203" s="497"/>
      <c r="I203" s="497"/>
      <c r="J203" s="497"/>
      <c r="K203" s="497"/>
      <c r="L203" s="497"/>
      <c r="M203" s="497"/>
    </row>
    <row r="204" spans="1:13" s="88" customFormat="1" ht="16.5" customHeight="1">
      <c r="A204" s="496" t="s">
        <v>1220</v>
      </c>
      <c r="B204" s="496"/>
      <c r="C204" s="493" t="s">
        <v>4245</v>
      </c>
      <c r="D204" s="493"/>
      <c r="E204" s="493"/>
      <c r="F204" s="493"/>
      <c r="G204" s="493"/>
      <c r="H204" s="493"/>
      <c r="I204" s="493"/>
      <c r="J204" s="493"/>
      <c r="K204" s="493"/>
      <c r="L204" s="493"/>
      <c r="M204" s="493"/>
    </row>
    <row r="205" spans="1:13" s="88" customFormat="1" ht="16.5" customHeight="1">
      <c r="A205" s="496" t="s">
        <v>5785</v>
      </c>
      <c r="B205" s="496"/>
      <c r="C205" s="493" t="s">
        <v>4246</v>
      </c>
      <c r="D205" s="493"/>
      <c r="E205" s="493"/>
      <c r="F205" s="493"/>
      <c r="G205" s="493"/>
      <c r="H205" s="493"/>
      <c r="I205" s="493"/>
      <c r="J205" s="493"/>
      <c r="K205" s="493"/>
      <c r="L205" s="493"/>
      <c r="M205" s="493"/>
    </row>
    <row r="206" spans="1:13" s="88" customFormat="1" ht="16.5" customHeight="1">
      <c r="A206" s="89" t="s">
        <v>1223</v>
      </c>
      <c r="B206" s="92" t="s">
        <v>2590</v>
      </c>
      <c r="C206" s="493" t="s">
        <v>4247</v>
      </c>
      <c r="D206" s="493"/>
      <c r="E206" s="493"/>
      <c r="F206" s="493"/>
      <c r="G206" s="493"/>
      <c r="H206" s="493"/>
      <c r="I206" s="493"/>
      <c r="J206" s="493"/>
      <c r="K206" s="493"/>
      <c r="L206" s="493"/>
      <c r="M206" s="493"/>
    </row>
    <row r="207" spans="1:13" s="88" customFormat="1" ht="16.5" customHeight="1">
      <c r="A207" s="89"/>
      <c r="B207" s="92" t="s">
        <v>4018</v>
      </c>
      <c r="C207" s="493" t="s">
        <v>4248</v>
      </c>
      <c r="D207" s="493"/>
      <c r="E207" s="493"/>
      <c r="F207" s="493"/>
      <c r="G207" s="493"/>
      <c r="H207" s="493"/>
      <c r="I207" s="493"/>
      <c r="J207" s="493"/>
      <c r="K207" s="493"/>
      <c r="L207" s="493"/>
      <c r="M207" s="493"/>
    </row>
    <row r="208" spans="1:13" s="88" customFormat="1" ht="16.5" customHeight="1">
      <c r="A208" s="89"/>
      <c r="B208" s="90" t="s">
        <v>4226</v>
      </c>
      <c r="C208" s="493" t="s">
        <v>4249</v>
      </c>
      <c r="D208" s="493"/>
      <c r="E208" s="493"/>
      <c r="F208" s="493"/>
      <c r="G208" s="493"/>
      <c r="H208" s="493"/>
      <c r="I208" s="493"/>
      <c r="J208" s="493"/>
      <c r="K208" s="493"/>
      <c r="L208" s="493"/>
      <c r="M208" s="493"/>
    </row>
    <row r="209" spans="1:13" s="88" customFormat="1" ht="16.5" customHeight="1">
      <c r="A209" s="89"/>
      <c r="B209" s="90" t="s">
        <v>4250</v>
      </c>
      <c r="C209" s="509" t="s">
        <v>4251</v>
      </c>
      <c r="D209" s="509"/>
      <c r="E209" s="509"/>
      <c r="F209" s="509"/>
      <c r="G209" s="509"/>
      <c r="H209" s="509"/>
      <c r="I209" s="509"/>
      <c r="J209" s="509"/>
      <c r="K209" s="509"/>
      <c r="L209" s="509"/>
      <c r="M209" s="509"/>
    </row>
    <row r="210" spans="1:13" s="88" customFormat="1" ht="16.5" customHeight="1">
      <c r="A210" s="89" t="s">
        <v>1228</v>
      </c>
      <c r="B210" s="493"/>
      <c r="C210" s="493"/>
      <c r="D210" s="493"/>
      <c r="E210" s="493"/>
      <c r="F210" s="493"/>
      <c r="G210" s="493"/>
      <c r="H210" s="493"/>
      <c r="I210" s="493"/>
      <c r="J210" s="493"/>
      <c r="K210" s="493"/>
      <c r="L210" s="493"/>
      <c r="M210" s="493"/>
    </row>
    <row r="211" spans="1:13" ht="73.5" customHeight="1">
      <c r="A211" s="89" t="s">
        <v>1229</v>
      </c>
      <c r="B211" s="493" t="s">
        <v>4252</v>
      </c>
      <c r="C211" s="493"/>
      <c r="D211" s="493"/>
      <c r="E211" s="493"/>
      <c r="F211" s="493"/>
      <c r="G211" s="493"/>
      <c r="H211" s="493"/>
      <c r="I211" s="493"/>
      <c r="J211" s="493"/>
      <c r="K211" s="493"/>
      <c r="L211" s="493"/>
      <c r="M211" s="493"/>
    </row>
    <row r="212" spans="1:13" ht="21" customHeight="1">
      <c r="B212" s="494" t="s">
        <v>2863</v>
      </c>
      <c r="C212" s="494"/>
      <c r="D212" s="494"/>
      <c r="E212" s="494"/>
      <c r="F212" s="494"/>
      <c r="G212" s="494"/>
      <c r="H212" s="494"/>
      <c r="I212" s="494"/>
      <c r="J212" s="494"/>
      <c r="K212" s="494"/>
      <c r="L212" s="495"/>
    </row>
    <row r="213" spans="1:13" s="93" customFormat="1" ht="16.5" customHeight="1"/>
    <row r="214" spans="1:13" s="93" customFormat="1" ht="16.5" customHeight="1">
      <c r="A214" s="94" t="s">
        <v>1232</v>
      </c>
      <c r="B214" s="93" t="s">
        <v>1773</v>
      </c>
      <c r="G214" s="4"/>
    </row>
    <row r="215" spans="1:13" ht="16.5" customHeight="1"/>
    <row r="216" spans="1:13" ht="16.5" customHeight="1">
      <c r="B216" s="93" t="s">
        <v>27</v>
      </c>
      <c r="C216" s="93"/>
      <c r="D216" s="93"/>
    </row>
    <row r="217" spans="1:13" ht="16.5" customHeight="1">
      <c r="B217" s="116" t="s">
        <v>4253</v>
      </c>
      <c r="C217" s="93" t="s">
        <v>4254</v>
      </c>
      <c r="D217" s="93"/>
    </row>
    <row r="218" spans="1:13" ht="16.5" customHeight="1">
      <c r="B218" s="93">
        <v>1</v>
      </c>
      <c r="C218" s="93" t="s">
        <v>4255</v>
      </c>
      <c r="D218" s="93"/>
    </row>
    <row r="219" spans="1:13" ht="16.5" customHeight="1">
      <c r="B219" s="93">
        <v>2</v>
      </c>
      <c r="C219" s="93" t="s">
        <v>4256</v>
      </c>
      <c r="D219" s="93"/>
    </row>
    <row r="220" spans="1:13" ht="16.5" customHeight="1">
      <c r="B220" s="93">
        <v>3</v>
      </c>
      <c r="C220" s="93" t="s">
        <v>4257</v>
      </c>
      <c r="D220" s="93"/>
    </row>
    <row r="221" spans="1:13" ht="16.5" customHeight="1">
      <c r="E221" s="4" t="s">
        <v>3592</v>
      </c>
    </row>
    <row r="222" spans="1:13" ht="16.5" customHeight="1">
      <c r="B222" s="93"/>
      <c r="C222" s="93"/>
      <c r="D222" s="93"/>
      <c r="E222" s="93"/>
      <c r="F222" s="93"/>
      <c r="G222" s="93"/>
      <c r="H222" s="93"/>
      <c r="I222" s="93"/>
    </row>
    <row r="223" spans="1:13" ht="16.5" customHeight="1">
      <c r="B223" s="565" t="s">
        <v>4258</v>
      </c>
      <c r="C223" s="565"/>
      <c r="D223" s="565"/>
      <c r="E223" s="93" t="s">
        <v>3592</v>
      </c>
      <c r="F223" s="93"/>
      <c r="G223" s="93"/>
      <c r="H223" s="93"/>
      <c r="I223" s="93"/>
    </row>
    <row r="224" spans="1:13" ht="16.5" customHeight="1">
      <c r="B224" s="95" t="s">
        <v>1246</v>
      </c>
      <c r="C224" s="96" t="s">
        <v>4259</v>
      </c>
      <c r="D224" s="97" t="s">
        <v>4260</v>
      </c>
      <c r="E224" s="94" t="s">
        <v>4241</v>
      </c>
      <c r="F224" s="104" t="s">
        <v>1238</v>
      </c>
      <c r="G224" s="93"/>
      <c r="H224" s="93"/>
      <c r="I224" s="93"/>
    </row>
    <row r="225" spans="2:9" ht="16.5" customHeight="1">
      <c r="B225" s="111" t="s">
        <v>1375</v>
      </c>
      <c r="C225" s="100"/>
      <c r="D225" s="101"/>
      <c r="E225" s="93">
        <f>TTEST(C226:C233,D226:D233,2,1)</f>
        <v>0.785031248655092</v>
      </c>
      <c r="F225" s="108" t="s">
        <v>4261</v>
      </c>
      <c r="G225" s="93"/>
      <c r="H225" s="93"/>
      <c r="I225" s="93"/>
    </row>
    <row r="226" spans="2:9" ht="16.5" customHeight="1">
      <c r="B226" s="111" t="s">
        <v>1843</v>
      </c>
      <c r="C226" s="100">
        <v>54</v>
      </c>
      <c r="D226" s="112">
        <v>62</v>
      </c>
      <c r="E226" s="93"/>
      <c r="F226" s="93"/>
      <c r="G226" s="93"/>
      <c r="H226" s="93"/>
      <c r="I226" s="93"/>
    </row>
    <row r="227" spans="2:9" ht="16.5" customHeight="1">
      <c r="B227" s="111" t="s">
        <v>1845</v>
      </c>
      <c r="C227" s="100">
        <v>74</v>
      </c>
      <c r="D227" s="112">
        <v>83</v>
      </c>
      <c r="E227" s="93" t="s">
        <v>3592</v>
      </c>
      <c r="F227" s="93"/>
      <c r="G227" s="93"/>
      <c r="H227" s="93"/>
      <c r="I227" s="93"/>
    </row>
    <row r="228" spans="2:9" ht="16.5" customHeight="1">
      <c r="B228" s="111" t="s">
        <v>1847</v>
      </c>
      <c r="C228" s="100">
        <v>66</v>
      </c>
      <c r="D228" s="112">
        <v>68</v>
      </c>
      <c r="E228" s="93"/>
      <c r="F228" s="93"/>
      <c r="G228" s="93"/>
      <c r="H228" s="93"/>
      <c r="I228" s="93"/>
    </row>
    <row r="229" spans="2:9" ht="16.5" customHeight="1">
      <c r="B229" s="111" t="s">
        <v>1848</v>
      </c>
      <c r="C229" s="100">
        <v>73</v>
      </c>
      <c r="D229" s="112">
        <v>56</v>
      </c>
      <c r="E229" s="93"/>
      <c r="F229" s="93"/>
      <c r="G229" s="93"/>
      <c r="H229" s="93"/>
      <c r="I229" s="93"/>
    </row>
    <row r="230" spans="2:9" ht="16.5" customHeight="1">
      <c r="B230" s="111" t="s">
        <v>1849</v>
      </c>
      <c r="C230" s="100">
        <v>85</v>
      </c>
      <c r="D230" s="112">
        <v>62</v>
      </c>
      <c r="E230" s="93"/>
      <c r="F230" s="93"/>
      <c r="G230" s="93"/>
      <c r="H230" s="93"/>
      <c r="I230" s="93"/>
    </row>
    <row r="231" spans="2:9" ht="16.5" customHeight="1">
      <c r="B231" s="111" t="s">
        <v>3597</v>
      </c>
      <c r="C231" s="100">
        <v>63</v>
      </c>
      <c r="D231" s="112">
        <v>90</v>
      </c>
      <c r="E231" s="93"/>
      <c r="F231" s="93"/>
      <c r="G231" s="93"/>
      <c r="H231" s="93"/>
      <c r="I231" s="93"/>
    </row>
    <row r="232" spans="2:9" ht="16.5" customHeight="1">
      <c r="B232" s="111" t="s">
        <v>1850</v>
      </c>
      <c r="C232" s="100">
        <v>87</v>
      </c>
      <c r="D232" s="112">
        <v>55</v>
      </c>
      <c r="E232" s="93"/>
      <c r="F232" s="93"/>
      <c r="G232" s="93"/>
      <c r="H232" s="93"/>
      <c r="I232" s="93"/>
    </row>
    <row r="233" spans="2:9" ht="16.5" customHeight="1">
      <c r="B233" s="111" t="s">
        <v>1851</v>
      </c>
      <c r="C233" s="100">
        <v>74</v>
      </c>
      <c r="D233" s="112">
        <v>84</v>
      </c>
      <c r="E233" s="93"/>
      <c r="F233" s="93"/>
      <c r="G233" s="93"/>
      <c r="H233" s="93"/>
      <c r="I233" s="93"/>
    </row>
    <row r="234" spans="2:9" ht="16.5" customHeight="1">
      <c r="B234" s="151" t="s">
        <v>1375</v>
      </c>
      <c r="C234" s="113"/>
      <c r="D234" s="107"/>
      <c r="E234" s="93"/>
      <c r="F234" s="93"/>
      <c r="G234" s="93"/>
      <c r="H234" s="93"/>
      <c r="I234" s="93"/>
    </row>
  </sheetData>
  <mergeCells count="58">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C17"/>
    <mergeCell ref="A100:C100"/>
    <mergeCell ref="E100:F100"/>
    <mergeCell ref="A101:B101"/>
    <mergeCell ref="C101:M101"/>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6:D116"/>
    <mergeCell ref="A200:C200"/>
    <mergeCell ref="E200:F200"/>
    <mergeCell ref="A201:B201"/>
    <mergeCell ref="C201:M201"/>
    <mergeCell ref="A203:B203"/>
    <mergeCell ref="C203:M203"/>
    <mergeCell ref="A204:B204"/>
    <mergeCell ref="C204:M204"/>
    <mergeCell ref="A205:B205"/>
    <mergeCell ref="C205:M205"/>
    <mergeCell ref="B212:L212"/>
    <mergeCell ref="B223:D223"/>
    <mergeCell ref="C206:M206"/>
    <mergeCell ref="C207:M207"/>
    <mergeCell ref="C208:M208"/>
    <mergeCell ref="C209:M209"/>
    <mergeCell ref="B210:M210"/>
    <mergeCell ref="B211:M211"/>
  </mergeCells>
  <phoneticPr fontId="2" type="noConversion"/>
  <pageMargins left="0.75" right="0.75" top="1" bottom="1" header="0.5" footer="0.5"/>
  <pageSetup paperSize="9" orientation="portrait" horizontalDpi="0" verticalDpi="0"/>
  <headerFooter scaleWithDoc="0"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4"/>
  <dimension ref="A1:AV227"/>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881</v>
      </c>
      <c r="B1" s="498"/>
      <c r="C1" s="499"/>
      <c r="D1" s="87"/>
      <c r="E1" s="500" t="str">
        <f>HYPERLINK("#目录!A321","跳转回到目录页")</f>
        <v>跳转回到目录页</v>
      </c>
      <c r="F1" s="501"/>
    </row>
    <row r="2" spans="1:48" s="88" customFormat="1" ht="26.25" customHeight="1">
      <c r="A2" s="502" t="s">
        <v>1216</v>
      </c>
      <c r="B2" s="502"/>
      <c r="C2" s="503" t="s">
        <v>523</v>
      </c>
      <c r="D2" s="503"/>
      <c r="E2" s="503"/>
      <c r="F2" s="503"/>
      <c r="G2" s="503"/>
      <c r="H2" s="503"/>
      <c r="I2" s="503"/>
      <c r="J2" s="503"/>
      <c r="K2" s="503"/>
      <c r="L2" s="503"/>
      <c r="M2" s="503"/>
    </row>
    <row r="3" spans="1:48" s="88" customFormat="1" ht="16.5" customHeight="1">
      <c r="A3" s="496" t="s">
        <v>1217</v>
      </c>
      <c r="B3" s="496"/>
      <c r="C3" s="493" t="s">
        <v>4262</v>
      </c>
      <c r="D3" s="493"/>
      <c r="E3" s="493"/>
      <c r="F3" s="493"/>
      <c r="G3" s="493"/>
      <c r="H3" s="493"/>
      <c r="I3" s="493"/>
      <c r="J3" s="493"/>
      <c r="K3" s="493"/>
      <c r="L3" s="493"/>
      <c r="M3" s="493"/>
    </row>
    <row r="4" spans="1:48" s="88" customFormat="1" ht="16.5" customHeight="1">
      <c r="A4" s="496" t="s">
        <v>5786</v>
      </c>
      <c r="B4" s="496"/>
      <c r="C4" s="497" t="s">
        <v>523</v>
      </c>
      <c r="D4" s="497"/>
      <c r="E4" s="497"/>
      <c r="F4" s="497"/>
      <c r="G4" s="497"/>
      <c r="H4" s="497"/>
      <c r="I4" s="497"/>
      <c r="J4" s="497"/>
      <c r="K4" s="497"/>
      <c r="L4" s="497"/>
      <c r="M4" s="497"/>
    </row>
    <row r="5" spans="1:48" s="88" customFormat="1" ht="16.5" customHeight="1">
      <c r="A5" s="496" t="s">
        <v>1220</v>
      </c>
      <c r="B5" s="496"/>
      <c r="C5" s="493" t="s">
        <v>4263</v>
      </c>
      <c r="D5" s="493"/>
      <c r="E5" s="493"/>
      <c r="F5" s="493"/>
      <c r="G5" s="493"/>
      <c r="H5" s="493"/>
      <c r="I5" s="493"/>
      <c r="J5" s="493"/>
      <c r="K5" s="493"/>
      <c r="L5" s="493"/>
      <c r="M5" s="493"/>
    </row>
    <row r="6" spans="1:48" s="88" customFormat="1" ht="16.5" customHeight="1">
      <c r="A6" s="496" t="s">
        <v>5785</v>
      </c>
      <c r="B6" s="496"/>
      <c r="C6" s="493" t="s">
        <v>4264</v>
      </c>
      <c r="D6" s="493"/>
      <c r="E6" s="493"/>
      <c r="F6" s="493"/>
      <c r="G6" s="493"/>
      <c r="H6" s="493"/>
      <c r="I6" s="493"/>
      <c r="J6" s="493"/>
      <c r="K6" s="493"/>
      <c r="L6" s="493"/>
      <c r="M6" s="493"/>
    </row>
    <row r="7" spans="1:48" s="88" customFormat="1" ht="16.5" customHeight="1">
      <c r="A7" s="89" t="s">
        <v>1223</v>
      </c>
      <c r="B7" s="92" t="s">
        <v>2418</v>
      </c>
      <c r="C7" s="493" t="s">
        <v>4176</v>
      </c>
      <c r="D7" s="493"/>
      <c r="E7" s="493"/>
      <c r="F7" s="493"/>
      <c r="G7" s="493"/>
      <c r="H7" s="493"/>
      <c r="I7" s="493"/>
      <c r="J7" s="493"/>
      <c r="K7" s="493"/>
      <c r="L7" s="493"/>
      <c r="M7" s="493"/>
    </row>
    <row r="8" spans="1:48" s="88" customFormat="1" ht="24.75" customHeight="1">
      <c r="A8" s="89"/>
      <c r="B8" s="92" t="s">
        <v>4265</v>
      </c>
      <c r="C8" s="493" t="s">
        <v>4266</v>
      </c>
      <c r="D8" s="493"/>
      <c r="E8" s="493"/>
      <c r="F8" s="493"/>
      <c r="G8" s="493"/>
      <c r="H8" s="493"/>
      <c r="I8" s="493"/>
      <c r="J8" s="493"/>
      <c r="K8" s="493"/>
      <c r="L8" s="493"/>
      <c r="M8" s="493"/>
    </row>
    <row r="9" spans="1:48" s="88" customFormat="1" ht="24.75" customHeight="1">
      <c r="A9" s="89"/>
      <c r="B9" s="90" t="s">
        <v>4267</v>
      </c>
      <c r="C9" s="493" t="s">
        <v>4268</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74.25" customHeight="1">
      <c r="A11" s="89" t="s">
        <v>1229</v>
      </c>
      <c r="B11" s="493" t="s">
        <v>4269</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65" t="s">
        <v>4270</v>
      </c>
      <c r="C17" s="565"/>
      <c r="D17" s="565"/>
      <c r="E17" s="565"/>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4271</v>
      </c>
      <c r="C18" s="96" t="s">
        <v>4272</v>
      </c>
      <c r="D18" s="96" t="s">
        <v>4273</v>
      </c>
      <c r="E18" s="97" t="s">
        <v>4231</v>
      </c>
      <c r="F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05">
        <v>4</v>
      </c>
      <c r="C19" s="113">
        <v>10</v>
      </c>
      <c r="D19" s="113">
        <v>10</v>
      </c>
      <c r="E19" s="107">
        <f>FDIST(B19,C19,D19)</f>
        <v>1.9581439999999999E-2</v>
      </c>
      <c r="F19" s="108" t="s">
        <v>4274</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885</v>
      </c>
      <c r="B100" s="498"/>
      <c r="C100" s="499"/>
      <c r="D100" s="87"/>
      <c r="E100" s="500" t="str">
        <f>HYPERLINK("#目录!A322","跳转回到目录页")</f>
        <v>跳转回到目录页</v>
      </c>
      <c r="F100" s="501"/>
    </row>
    <row r="101" spans="1:13" s="88" customFormat="1" ht="26.25" customHeight="1">
      <c r="A101" s="502" t="s">
        <v>1216</v>
      </c>
      <c r="B101" s="502"/>
      <c r="C101" s="503" t="s">
        <v>524</v>
      </c>
      <c r="D101" s="503"/>
      <c r="E101" s="503"/>
      <c r="F101" s="503"/>
      <c r="G101" s="503"/>
      <c r="H101" s="503"/>
      <c r="I101" s="503"/>
      <c r="J101" s="503"/>
      <c r="K101" s="503"/>
      <c r="L101" s="503"/>
      <c r="M101" s="503"/>
    </row>
    <row r="102" spans="1:13" s="88" customFormat="1" ht="16.5" customHeight="1">
      <c r="A102" s="496" t="s">
        <v>1217</v>
      </c>
      <c r="B102" s="496"/>
      <c r="C102" s="493" t="s">
        <v>4275</v>
      </c>
      <c r="D102" s="493"/>
      <c r="E102" s="493"/>
      <c r="F102" s="493"/>
      <c r="G102" s="493"/>
      <c r="H102" s="493"/>
      <c r="I102" s="493"/>
      <c r="J102" s="493"/>
      <c r="K102" s="493"/>
      <c r="L102" s="493"/>
      <c r="M102" s="493"/>
    </row>
    <row r="103" spans="1:13" s="88" customFormat="1" ht="16.5" customHeight="1">
      <c r="A103" s="496" t="s">
        <v>5786</v>
      </c>
      <c r="B103" s="496"/>
      <c r="C103" s="497" t="s">
        <v>524</v>
      </c>
      <c r="D103" s="497"/>
      <c r="E103" s="497"/>
      <c r="F103" s="497"/>
      <c r="G103" s="497"/>
      <c r="H103" s="497"/>
      <c r="I103" s="497"/>
      <c r="J103" s="497"/>
      <c r="K103" s="497"/>
      <c r="L103" s="497"/>
      <c r="M103" s="497"/>
    </row>
    <row r="104" spans="1:13" s="88" customFormat="1" ht="16.5" customHeight="1">
      <c r="A104" s="496" t="s">
        <v>1220</v>
      </c>
      <c r="B104" s="496"/>
      <c r="C104" s="493" t="s">
        <v>4276</v>
      </c>
      <c r="D104" s="493"/>
      <c r="E104" s="493"/>
      <c r="F104" s="493"/>
      <c r="G104" s="493"/>
      <c r="H104" s="493"/>
      <c r="I104" s="493"/>
      <c r="J104" s="493"/>
      <c r="K104" s="493"/>
      <c r="L104" s="493"/>
      <c r="M104" s="493"/>
    </row>
    <row r="105" spans="1:13" s="88" customFormat="1" ht="16.5" customHeight="1">
      <c r="A105" s="496" t="s">
        <v>5785</v>
      </c>
      <c r="B105" s="496"/>
      <c r="C105" s="493" t="s">
        <v>4277</v>
      </c>
      <c r="D105" s="493"/>
      <c r="E105" s="493"/>
      <c r="F105" s="493"/>
      <c r="G105" s="493"/>
      <c r="H105" s="493"/>
      <c r="I105" s="493"/>
      <c r="J105" s="493"/>
      <c r="K105" s="493"/>
      <c r="L105" s="493"/>
      <c r="M105" s="493"/>
    </row>
    <row r="106" spans="1:13" s="88" customFormat="1" ht="16.5" customHeight="1">
      <c r="A106" s="89" t="s">
        <v>1223</v>
      </c>
      <c r="B106" s="92" t="s">
        <v>4156</v>
      </c>
      <c r="C106" s="493" t="s">
        <v>4278</v>
      </c>
      <c r="D106" s="493"/>
      <c r="E106" s="493"/>
      <c r="F106" s="493"/>
      <c r="G106" s="493"/>
      <c r="H106" s="493"/>
      <c r="I106" s="493"/>
      <c r="J106" s="493"/>
      <c r="K106" s="493"/>
      <c r="L106" s="493"/>
      <c r="M106" s="493"/>
    </row>
    <row r="107" spans="1:13" s="88" customFormat="1" ht="24.75" customHeight="1">
      <c r="A107" s="89"/>
      <c r="B107" s="92" t="s">
        <v>4265</v>
      </c>
      <c r="C107" s="493" t="s">
        <v>4266</v>
      </c>
      <c r="D107" s="493"/>
      <c r="E107" s="493"/>
      <c r="F107" s="493"/>
      <c r="G107" s="493"/>
      <c r="H107" s="493"/>
      <c r="I107" s="493"/>
      <c r="J107" s="493"/>
      <c r="K107" s="493"/>
      <c r="L107" s="493"/>
      <c r="M107" s="493"/>
    </row>
    <row r="108" spans="1:13" s="88" customFormat="1" ht="24.75" customHeight="1">
      <c r="A108" s="89"/>
      <c r="B108" s="90" t="s">
        <v>4267</v>
      </c>
      <c r="C108" s="493" t="s">
        <v>4268</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23.75" customHeight="1">
      <c r="A110" s="89" t="s">
        <v>1229</v>
      </c>
      <c r="B110" s="493" t="s">
        <v>4279</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1" s="93" customFormat="1" ht="16.5" customHeight="1">
      <c r="A113" s="94" t="s">
        <v>1232</v>
      </c>
      <c r="B113" s="93" t="s">
        <v>1773</v>
      </c>
      <c r="E113" s="4"/>
    </row>
    <row r="114" spans="1:11" ht="16.5" customHeight="1">
      <c r="B114" s="93"/>
      <c r="C114" s="93"/>
      <c r="D114" s="93"/>
      <c r="E114" s="93"/>
      <c r="F114" s="93"/>
      <c r="G114" s="93"/>
      <c r="H114" s="93"/>
      <c r="I114" s="93"/>
      <c r="J114" s="93"/>
      <c r="K114" s="93"/>
    </row>
    <row r="115" spans="1:11" ht="16.5" customHeight="1">
      <c r="B115" s="93"/>
      <c r="C115" s="93"/>
      <c r="D115" s="93"/>
      <c r="E115" s="93"/>
      <c r="F115" s="93"/>
      <c r="G115" s="93"/>
      <c r="H115" s="93"/>
      <c r="I115" s="93"/>
      <c r="J115" s="93"/>
      <c r="K115" s="93"/>
    </row>
    <row r="116" spans="1:11" ht="16.5" customHeight="1">
      <c r="B116" s="565" t="s">
        <v>4280</v>
      </c>
      <c r="C116" s="565"/>
      <c r="D116" s="565"/>
      <c r="E116" s="565"/>
      <c r="F116" s="93"/>
      <c r="G116" s="93"/>
      <c r="H116" s="93"/>
      <c r="I116" s="93"/>
      <c r="J116" s="93"/>
      <c r="K116" s="93"/>
    </row>
    <row r="117" spans="1:11" ht="16.5" customHeight="1">
      <c r="B117" s="95" t="s">
        <v>4198</v>
      </c>
      <c r="C117" s="96" t="s">
        <v>4272</v>
      </c>
      <c r="D117" s="96" t="s">
        <v>4273</v>
      </c>
      <c r="E117" s="184" t="s">
        <v>5809</v>
      </c>
      <c r="F117" s="104" t="s">
        <v>1238</v>
      </c>
      <c r="G117" s="93"/>
      <c r="H117" s="93"/>
      <c r="I117" s="93"/>
      <c r="J117" s="93"/>
      <c r="K117" s="93"/>
    </row>
    <row r="118" spans="1:11" ht="16.5" customHeight="1">
      <c r="B118" s="105">
        <v>0.05</v>
      </c>
      <c r="C118" s="113">
        <v>10</v>
      </c>
      <c r="D118" s="113">
        <v>10</v>
      </c>
      <c r="E118" s="107">
        <f>FINV(B118,C118,D118)</f>
        <v>2.9782370160823217</v>
      </c>
      <c r="F118" s="108" t="s">
        <v>4281</v>
      </c>
      <c r="G118" s="93"/>
      <c r="H118" s="93"/>
      <c r="I118" s="93"/>
      <c r="J118" s="93"/>
      <c r="K118" s="93"/>
    </row>
    <row r="119" spans="1:11" ht="16.5" customHeight="1">
      <c r="B119" s="93"/>
      <c r="C119" s="93"/>
      <c r="D119" s="93"/>
      <c r="E119" s="93"/>
      <c r="F119" s="93"/>
      <c r="G119" s="93"/>
      <c r="H119" s="93"/>
      <c r="I119" s="93"/>
      <c r="J119" s="93"/>
      <c r="K119" s="93"/>
    </row>
    <row r="200" spans="1:13" s="88" customFormat="1" ht="26.25" customHeight="1">
      <c r="A200" s="498" t="s">
        <v>894</v>
      </c>
      <c r="B200" s="498"/>
      <c r="C200" s="499"/>
      <c r="D200" s="87"/>
      <c r="E200" s="500" t="str">
        <f>HYPERLINK("#目录!A323","跳转回到目录页")</f>
        <v>跳转回到目录页</v>
      </c>
      <c r="F200" s="501"/>
    </row>
    <row r="201" spans="1:13" s="88" customFormat="1" ht="26.25" customHeight="1">
      <c r="A201" s="502" t="s">
        <v>1216</v>
      </c>
      <c r="B201" s="502"/>
      <c r="C201" s="503" t="s">
        <v>518</v>
      </c>
      <c r="D201" s="503"/>
      <c r="E201" s="503"/>
      <c r="F201" s="503"/>
      <c r="G201" s="503"/>
      <c r="H201" s="503"/>
      <c r="I201" s="503"/>
      <c r="J201" s="503"/>
      <c r="K201" s="503"/>
      <c r="L201" s="503"/>
      <c r="M201" s="503"/>
    </row>
    <row r="202" spans="1:13" s="88" customFormat="1" ht="16.5" customHeight="1">
      <c r="A202" s="496" t="s">
        <v>1217</v>
      </c>
      <c r="B202" s="496"/>
      <c r="C202" s="493" t="s">
        <v>4282</v>
      </c>
      <c r="D202" s="493"/>
      <c r="E202" s="493"/>
      <c r="F202" s="493"/>
      <c r="G202" s="493"/>
      <c r="H202" s="493"/>
      <c r="I202" s="493"/>
      <c r="J202" s="493"/>
      <c r="K202" s="493"/>
      <c r="L202" s="493"/>
      <c r="M202" s="493"/>
    </row>
    <row r="203" spans="1:13" s="88" customFormat="1" ht="16.5" customHeight="1">
      <c r="A203" s="496" t="s">
        <v>5786</v>
      </c>
      <c r="B203" s="496"/>
      <c r="C203" s="497" t="s">
        <v>518</v>
      </c>
      <c r="D203" s="497"/>
      <c r="E203" s="497"/>
      <c r="F203" s="497"/>
      <c r="G203" s="497"/>
      <c r="H203" s="497"/>
      <c r="I203" s="497"/>
      <c r="J203" s="497"/>
      <c r="K203" s="497"/>
      <c r="L203" s="497"/>
      <c r="M203" s="497"/>
    </row>
    <row r="204" spans="1:13" s="88" customFormat="1" ht="16.5" customHeight="1">
      <c r="A204" s="496" t="s">
        <v>1220</v>
      </c>
      <c r="B204" s="496"/>
      <c r="C204" s="493" t="s">
        <v>4283</v>
      </c>
      <c r="D204" s="493"/>
      <c r="E204" s="493"/>
      <c r="F204" s="493"/>
      <c r="G204" s="493"/>
      <c r="H204" s="493"/>
      <c r="I204" s="493"/>
      <c r="J204" s="493"/>
      <c r="K204" s="493"/>
      <c r="L204" s="493"/>
      <c r="M204" s="493"/>
    </row>
    <row r="205" spans="1:13" s="88" customFormat="1" ht="16.5" customHeight="1">
      <c r="A205" s="496" t="s">
        <v>5785</v>
      </c>
      <c r="B205" s="496"/>
      <c r="C205" s="493" t="s">
        <v>4284</v>
      </c>
      <c r="D205" s="493"/>
      <c r="E205" s="493"/>
      <c r="F205" s="493"/>
      <c r="G205" s="493"/>
      <c r="H205" s="493"/>
      <c r="I205" s="493"/>
      <c r="J205" s="493"/>
      <c r="K205" s="493"/>
      <c r="L205" s="493"/>
      <c r="M205" s="493"/>
    </row>
    <row r="206" spans="1:13" s="88" customFormat="1" ht="16.5" customHeight="1">
      <c r="A206" s="89" t="s">
        <v>1223</v>
      </c>
      <c r="B206" s="92" t="s">
        <v>2590</v>
      </c>
      <c r="C206" s="493" t="s">
        <v>4285</v>
      </c>
      <c r="D206" s="493"/>
      <c r="E206" s="493"/>
      <c r="F206" s="493"/>
      <c r="G206" s="493"/>
      <c r="H206" s="493"/>
      <c r="I206" s="493"/>
      <c r="J206" s="493"/>
      <c r="K206" s="493"/>
      <c r="L206" s="493"/>
      <c r="M206" s="493"/>
    </row>
    <row r="207" spans="1:13" s="88" customFormat="1" ht="16.5" customHeight="1">
      <c r="A207" s="89"/>
      <c r="B207" s="92" t="s">
        <v>4018</v>
      </c>
      <c r="C207" s="493" t="s">
        <v>4286</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38.25" customHeight="1">
      <c r="A210" s="89" t="s">
        <v>1229</v>
      </c>
      <c r="B210" s="493" t="s">
        <v>4287</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c r="E213" s="4"/>
    </row>
    <row r="214" spans="1:13" ht="16.5" customHeight="1"/>
    <row r="215" spans="1:13" ht="16.5" customHeight="1"/>
    <row r="216" spans="1:13" ht="16.5" customHeight="1">
      <c r="B216" s="565" t="s">
        <v>4258</v>
      </c>
      <c r="C216" s="565"/>
      <c r="D216" s="565"/>
      <c r="E216" s="93" t="s">
        <v>3592</v>
      </c>
      <c r="F216" s="93"/>
    </row>
    <row r="217" spans="1:13" ht="16.5" customHeight="1">
      <c r="B217" s="95" t="s">
        <v>1246</v>
      </c>
      <c r="C217" s="96" t="s">
        <v>4259</v>
      </c>
      <c r="D217" s="97" t="s">
        <v>4260</v>
      </c>
      <c r="E217" s="94" t="s">
        <v>4288</v>
      </c>
      <c r="F217" s="104" t="s">
        <v>1238</v>
      </c>
    </row>
    <row r="218" spans="1:13" ht="16.5" customHeight="1">
      <c r="B218" s="111" t="s">
        <v>1375</v>
      </c>
      <c r="C218" s="100"/>
      <c r="D218" s="101"/>
      <c r="E218" s="93">
        <f>FTEST(C219:C226,D219:D226)</f>
        <v>0.57087052339162991</v>
      </c>
      <c r="F218" s="108" t="s">
        <v>4289</v>
      </c>
    </row>
    <row r="219" spans="1:13" ht="16.5" customHeight="1">
      <c r="B219" s="111" t="s">
        <v>1843</v>
      </c>
      <c r="C219" s="100">
        <v>54</v>
      </c>
      <c r="D219" s="112">
        <v>62</v>
      </c>
      <c r="E219" s="93"/>
      <c r="F219" s="93"/>
    </row>
    <row r="220" spans="1:13" ht="16.5" customHeight="1">
      <c r="B220" s="111" t="s">
        <v>1845</v>
      </c>
      <c r="C220" s="100">
        <v>74</v>
      </c>
      <c r="D220" s="112">
        <v>83</v>
      </c>
      <c r="E220" s="93" t="s">
        <v>3592</v>
      </c>
      <c r="F220" s="93"/>
    </row>
    <row r="221" spans="1:13" ht="16.5" customHeight="1">
      <c r="B221" s="111" t="s">
        <v>1847</v>
      </c>
      <c r="C221" s="100">
        <v>66</v>
      </c>
      <c r="D221" s="112">
        <v>68</v>
      </c>
      <c r="E221" s="93"/>
      <c r="F221" s="93"/>
    </row>
    <row r="222" spans="1:13" ht="16.5" customHeight="1">
      <c r="B222" s="111" t="s">
        <v>1848</v>
      </c>
      <c r="C222" s="100">
        <v>73</v>
      </c>
      <c r="D222" s="112">
        <v>56</v>
      </c>
      <c r="E222" s="93"/>
      <c r="F222" s="93"/>
    </row>
    <row r="223" spans="1:13" ht="16.5" customHeight="1">
      <c r="B223" s="111" t="s">
        <v>1849</v>
      </c>
      <c r="C223" s="100">
        <v>85</v>
      </c>
      <c r="D223" s="112">
        <v>62</v>
      </c>
      <c r="E223" s="93"/>
      <c r="F223" s="93"/>
    </row>
    <row r="224" spans="1:13" ht="16.5" customHeight="1">
      <c r="B224" s="111" t="s">
        <v>3597</v>
      </c>
      <c r="C224" s="100">
        <v>63</v>
      </c>
      <c r="D224" s="112">
        <v>90</v>
      </c>
      <c r="E224" s="93"/>
      <c r="F224" s="93"/>
    </row>
    <row r="225" spans="2:6" ht="16.5" customHeight="1">
      <c r="B225" s="111" t="s">
        <v>1850</v>
      </c>
      <c r="C225" s="100">
        <v>87</v>
      </c>
      <c r="D225" s="112">
        <v>55</v>
      </c>
      <c r="E225" s="93"/>
      <c r="F225" s="93"/>
    </row>
    <row r="226" spans="2:6" ht="16.5" customHeight="1">
      <c r="B226" s="111" t="s">
        <v>1851</v>
      </c>
      <c r="C226" s="100">
        <v>74</v>
      </c>
      <c r="D226" s="112">
        <v>84</v>
      </c>
      <c r="E226" s="93"/>
      <c r="F226" s="93"/>
    </row>
    <row r="227" spans="2:6" ht="16.5" customHeight="1">
      <c r="B227" s="151" t="s">
        <v>1375</v>
      </c>
      <c r="C227" s="113"/>
      <c r="D227" s="107"/>
      <c r="E227" s="93"/>
      <c r="F227" s="93"/>
    </row>
  </sheetData>
  <mergeCells count="57">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E17"/>
    <mergeCell ref="A100:C100"/>
    <mergeCell ref="E100:F100"/>
    <mergeCell ref="A101:B101"/>
    <mergeCell ref="C101:M101"/>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6:E116"/>
    <mergeCell ref="A200:C200"/>
    <mergeCell ref="E200:F200"/>
    <mergeCell ref="A201:B201"/>
    <mergeCell ref="C201:M201"/>
    <mergeCell ref="A203:B203"/>
    <mergeCell ref="C203:M203"/>
    <mergeCell ref="A204:B204"/>
    <mergeCell ref="C204:M204"/>
    <mergeCell ref="A205:B205"/>
    <mergeCell ref="C205:M205"/>
    <mergeCell ref="B216:D216"/>
    <mergeCell ref="C206:M206"/>
    <mergeCell ref="C207:M207"/>
    <mergeCell ref="C208:M208"/>
    <mergeCell ref="B209:M209"/>
    <mergeCell ref="B210:M210"/>
    <mergeCell ref="B211:L211"/>
  </mergeCells>
  <phoneticPr fontId="2" type="noConversion"/>
  <pageMargins left="0.75" right="0.75" top="1" bottom="1" header="0.5" footer="0.5"/>
  <headerFooter scaleWithDoc="0"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AV11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887</v>
      </c>
      <c r="B1" s="498"/>
      <c r="C1" s="499"/>
      <c r="D1" s="87"/>
      <c r="E1" s="500" t="str">
        <f>HYPERLINK("#目录!A325","跳转回到目录页")</f>
        <v>跳转回到目录页</v>
      </c>
      <c r="F1" s="501"/>
    </row>
    <row r="2" spans="1:48" s="88" customFormat="1" ht="26.25" customHeight="1">
      <c r="A2" s="502" t="s">
        <v>1216</v>
      </c>
      <c r="B2" s="502"/>
      <c r="C2" s="503" t="s">
        <v>526</v>
      </c>
      <c r="D2" s="503"/>
      <c r="E2" s="503"/>
      <c r="F2" s="503"/>
      <c r="G2" s="503"/>
      <c r="H2" s="503"/>
      <c r="I2" s="503"/>
      <c r="J2" s="503"/>
      <c r="K2" s="503"/>
      <c r="L2" s="503"/>
      <c r="M2" s="503"/>
    </row>
    <row r="3" spans="1:48" s="88" customFormat="1" ht="16.5" customHeight="1">
      <c r="A3" s="496" t="s">
        <v>1217</v>
      </c>
      <c r="B3" s="496"/>
      <c r="C3" s="493" t="s">
        <v>4290</v>
      </c>
      <c r="D3" s="493"/>
      <c r="E3" s="493"/>
      <c r="F3" s="493"/>
      <c r="G3" s="493"/>
      <c r="H3" s="493"/>
      <c r="I3" s="493"/>
      <c r="J3" s="493"/>
      <c r="K3" s="493"/>
      <c r="L3" s="493"/>
      <c r="M3" s="493"/>
    </row>
    <row r="4" spans="1:48" s="88" customFormat="1" ht="16.5" customHeight="1">
      <c r="A4" s="496" t="s">
        <v>5786</v>
      </c>
      <c r="B4" s="496"/>
      <c r="C4" s="497" t="s">
        <v>526</v>
      </c>
      <c r="D4" s="497"/>
      <c r="E4" s="497"/>
      <c r="F4" s="497"/>
      <c r="G4" s="497"/>
      <c r="H4" s="497"/>
      <c r="I4" s="497"/>
      <c r="J4" s="497"/>
      <c r="K4" s="497"/>
      <c r="L4" s="497"/>
      <c r="M4" s="497"/>
    </row>
    <row r="5" spans="1:48" s="88" customFormat="1" ht="16.5" customHeight="1">
      <c r="A5" s="496" t="s">
        <v>1220</v>
      </c>
      <c r="B5" s="496"/>
      <c r="C5" s="493" t="s">
        <v>4291</v>
      </c>
      <c r="D5" s="493"/>
      <c r="E5" s="493"/>
      <c r="F5" s="493"/>
      <c r="G5" s="493"/>
      <c r="H5" s="493"/>
      <c r="I5" s="493"/>
      <c r="J5" s="493"/>
      <c r="K5" s="493"/>
      <c r="L5" s="493"/>
      <c r="M5" s="493"/>
    </row>
    <row r="6" spans="1:48" s="88" customFormat="1" ht="16.5" customHeight="1">
      <c r="A6" s="496" t="s">
        <v>5785</v>
      </c>
      <c r="B6" s="496"/>
      <c r="C6" s="493" t="s">
        <v>4292</v>
      </c>
      <c r="D6" s="493"/>
      <c r="E6" s="493"/>
      <c r="F6" s="493"/>
      <c r="G6" s="493"/>
      <c r="H6" s="493"/>
      <c r="I6" s="493"/>
      <c r="J6" s="493"/>
      <c r="K6" s="493"/>
      <c r="L6" s="493"/>
      <c r="M6" s="493"/>
    </row>
    <row r="7" spans="1:48" s="88" customFormat="1" ht="16.5" customHeight="1">
      <c r="A7" s="89" t="s">
        <v>1223</v>
      </c>
      <c r="B7" s="92" t="s">
        <v>2418</v>
      </c>
      <c r="C7" s="493" t="s">
        <v>4293</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24.75" customHeight="1">
      <c r="A11" s="89" t="s">
        <v>1229</v>
      </c>
      <c r="B11" s="493" t="s">
        <v>4294</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4295</v>
      </c>
      <c r="C17" s="9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4022</v>
      </c>
      <c r="C18" s="97" t="s">
        <v>4296</v>
      </c>
      <c r="D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05">
        <v>0.7</v>
      </c>
      <c r="C19" s="107">
        <f>FISHER(B19)</f>
        <v>0.86730052769405319</v>
      </c>
      <c r="D19" s="108" t="s">
        <v>4297</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E21" s="93" t="s">
        <v>3592</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889</v>
      </c>
      <c r="B100" s="498"/>
      <c r="C100" s="499"/>
      <c r="D100" s="87"/>
      <c r="E100" s="500" t="str">
        <f>HYPERLINK("#目录!A326","跳转回到目录页")</f>
        <v>跳转回到目录页</v>
      </c>
      <c r="F100" s="501"/>
    </row>
    <row r="101" spans="1:13" s="88" customFormat="1" ht="26.25" customHeight="1">
      <c r="A101" s="502" t="s">
        <v>1216</v>
      </c>
      <c r="B101" s="502"/>
      <c r="C101" s="503" t="s">
        <v>527</v>
      </c>
      <c r="D101" s="503"/>
      <c r="E101" s="503"/>
      <c r="F101" s="503"/>
      <c r="G101" s="503"/>
      <c r="H101" s="503"/>
      <c r="I101" s="503"/>
      <c r="J101" s="503"/>
      <c r="K101" s="503"/>
      <c r="L101" s="503"/>
      <c r="M101" s="503"/>
    </row>
    <row r="102" spans="1:13" s="88" customFormat="1" ht="16.5" customHeight="1">
      <c r="A102" s="496" t="s">
        <v>1217</v>
      </c>
      <c r="B102" s="496"/>
      <c r="C102" s="493" t="s">
        <v>4298</v>
      </c>
      <c r="D102" s="493"/>
      <c r="E102" s="493"/>
      <c r="F102" s="493"/>
      <c r="G102" s="493"/>
      <c r="H102" s="493"/>
      <c r="I102" s="493"/>
      <c r="J102" s="493"/>
      <c r="K102" s="493"/>
      <c r="L102" s="493"/>
      <c r="M102" s="493"/>
    </row>
    <row r="103" spans="1:13" s="88" customFormat="1" ht="16.5" customHeight="1">
      <c r="A103" s="496" t="s">
        <v>5786</v>
      </c>
      <c r="B103" s="496"/>
      <c r="C103" s="497" t="s">
        <v>527</v>
      </c>
      <c r="D103" s="497"/>
      <c r="E103" s="497"/>
      <c r="F103" s="497"/>
      <c r="G103" s="497"/>
      <c r="H103" s="497"/>
      <c r="I103" s="497"/>
      <c r="J103" s="497"/>
      <c r="K103" s="497"/>
      <c r="L103" s="497"/>
      <c r="M103" s="497"/>
    </row>
    <row r="104" spans="1:13" s="88" customFormat="1" ht="16.5" customHeight="1">
      <c r="A104" s="496" t="s">
        <v>1220</v>
      </c>
      <c r="B104" s="496"/>
      <c r="C104" s="493" t="s">
        <v>4299</v>
      </c>
      <c r="D104" s="493"/>
      <c r="E104" s="493"/>
      <c r="F104" s="493"/>
      <c r="G104" s="493"/>
      <c r="H104" s="493"/>
      <c r="I104" s="493"/>
      <c r="J104" s="493"/>
      <c r="K104" s="493"/>
      <c r="L104" s="493"/>
      <c r="M104" s="493"/>
    </row>
    <row r="105" spans="1:13" s="88" customFormat="1" ht="16.5" customHeight="1">
      <c r="A105" s="496" t="s">
        <v>5785</v>
      </c>
      <c r="B105" s="496"/>
      <c r="C105" s="493" t="s">
        <v>4300</v>
      </c>
      <c r="D105" s="493"/>
      <c r="E105" s="493"/>
      <c r="F105" s="493"/>
      <c r="G105" s="493"/>
      <c r="H105" s="493"/>
      <c r="I105" s="493"/>
      <c r="J105" s="493"/>
      <c r="K105" s="493"/>
      <c r="L105" s="493"/>
      <c r="M105" s="493"/>
    </row>
    <row r="106" spans="1:13" s="88" customFormat="1" ht="16.5" customHeight="1">
      <c r="A106" s="89" t="s">
        <v>1223</v>
      </c>
      <c r="B106" s="92" t="s">
        <v>4301</v>
      </c>
      <c r="C106" s="493" t="s">
        <v>4302</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6.5" customHeight="1">
      <c r="A110" s="89" t="s">
        <v>1229</v>
      </c>
      <c r="B110" s="493" t="s">
        <v>4303</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c r="B115" s="93"/>
      <c r="C115" s="93"/>
      <c r="D115" s="93"/>
      <c r="E115" s="93"/>
      <c r="F115" s="93"/>
      <c r="G115" s="93"/>
      <c r="H115" s="93"/>
      <c r="I115" s="93"/>
    </row>
    <row r="116" spans="1:48" ht="16.5" customHeight="1">
      <c r="B116" s="518" t="s">
        <v>4304</v>
      </c>
      <c r="C116" s="518"/>
      <c r="D116" s="93"/>
      <c r="E116" s="93"/>
      <c r="F116" s="93"/>
      <c r="G116" s="93"/>
      <c r="H116" s="93"/>
      <c r="I116" s="93"/>
    </row>
    <row r="117" spans="1:48" ht="16.5" customHeight="1">
      <c r="B117" s="95" t="s">
        <v>4296</v>
      </c>
      <c r="C117" s="97" t="s">
        <v>4022</v>
      </c>
      <c r="D117" s="104" t="s">
        <v>1238</v>
      </c>
      <c r="E117" s="93"/>
      <c r="F117" s="93"/>
      <c r="G117" s="93"/>
      <c r="H117" s="93"/>
      <c r="I117" s="93"/>
    </row>
    <row r="118" spans="1:48" ht="16.5" customHeight="1">
      <c r="B118" s="105">
        <v>0.9</v>
      </c>
      <c r="C118" s="107">
        <f>FISHERINV(B118)</f>
        <v>0.71629787019902447</v>
      </c>
      <c r="D118" s="108" t="s">
        <v>4305</v>
      </c>
      <c r="E118" s="93"/>
      <c r="F118" s="93"/>
      <c r="G118" s="93"/>
      <c r="H118" s="93"/>
      <c r="I118" s="93"/>
    </row>
    <row r="119" spans="1:48" ht="16.5" customHeight="1">
      <c r="B119" s="93"/>
      <c r="C119" s="93"/>
      <c r="D119" s="93"/>
      <c r="E119" s="93"/>
      <c r="F119" s="93"/>
      <c r="G119" s="93"/>
      <c r="H119" s="93"/>
      <c r="I119" s="93"/>
    </row>
  </sheetData>
  <mergeCells count="37">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A103:B103"/>
    <mergeCell ref="C103:M103"/>
    <mergeCell ref="A104:B104"/>
    <mergeCell ref="C104:M104"/>
    <mergeCell ref="A105:B105"/>
    <mergeCell ref="C105:M105"/>
    <mergeCell ref="B116:C116"/>
    <mergeCell ref="C106:M106"/>
    <mergeCell ref="C107:M107"/>
    <mergeCell ref="C108:M108"/>
    <mergeCell ref="B109:M109"/>
    <mergeCell ref="B110:M110"/>
    <mergeCell ref="B111:L111"/>
  </mergeCells>
  <phoneticPr fontId="2" type="noConversion"/>
  <pageMargins left="0.75" right="0.75" top="1" bottom="1" header="0.5" footer="0.5"/>
  <headerFooter scaleWithDoc="0"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AV220"/>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901</v>
      </c>
      <c r="B1" s="498"/>
      <c r="C1" s="499"/>
      <c r="D1" s="87"/>
      <c r="E1" s="500" t="str">
        <f>HYPERLINK("#目录!A330","跳转回到目录页")</f>
        <v>跳转回到目录页</v>
      </c>
      <c r="F1" s="501"/>
    </row>
    <row r="2" spans="1:48" s="88" customFormat="1" ht="26.25" customHeight="1">
      <c r="A2" s="502" t="s">
        <v>1216</v>
      </c>
      <c r="B2" s="502"/>
      <c r="C2" s="503" t="s">
        <v>533</v>
      </c>
      <c r="D2" s="503"/>
      <c r="E2" s="503"/>
      <c r="F2" s="503"/>
      <c r="G2" s="503"/>
      <c r="H2" s="503"/>
      <c r="I2" s="503"/>
      <c r="J2" s="503"/>
      <c r="K2" s="503"/>
      <c r="L2" s="503"/>
      <c r="M2" s="503"/>
    </row>
    <row r="3" spans="1:48" s="88" customFormat="1" ht="16.5" customHeight="1">
      <c r="A3" s="496" t="s">
        <v>1217</v>
      </c>
      <c r="B3" s="496"/>
      <c r="C3" s="493" t="s">
        <v>4306</v>
      </c>
      <c r="D3" s="493"/>
      <c r="E3" s="493"/>
      <c r="F3" s="493"/>
      <c r="G3" s="493"/>
      <c r="H3" s="493"/>
      <c r="I3" s="493"/>
      <c r="J3" s="493"/>
      <c r="K3" s="493"/>
      <c r="L3" s="493"/>
      <c r="M3" s="493"/>
    </row>
    <row r="4" spans="1:48" s="88" customFormat="1" ht="16.5" customHeight="1">
      <c r="A4" s="496" t="s">
        <v>5786</v>
      </c>
      <c r="B4" s="496"/>
      <c r="C4" s="497" t="s">
        <v>533</v>
      </c>
      <c r="D4" s="497"/>
      <c r="E4" s="497"/>
      <c r="F4" s="497"/>
      <c r="G4" s="497"/>
      <c r="H4" s="497"/>
      <c r="I4" s="497"/>
      <c r="J4" s="497"/>
      <c r="K4" s="497"/>
      <c r="L4" s="497"/>
      <c r="M4" s="497"/>
    </row>
    <row r="5" spans="1:48" s="88" customFormat="1" ht="16.5" customHeight="1">
      <c r="A5" s="496" t="s">
        <v>1220</v>
      </c>
      <c r="B5" s="496"/>
      <c r="C5" s="493" t="s">
        <v>4307</v>
      </c>
      <c r="D5" s="493"/>
      <c r="E5" s="493"/>
      <c r="F5" s="493"/>
      <c r="G5" s="493"/>
      <c r="H5" s="493"/>
      <c r="I5" s="493"/>
      <c r="J5" s="493"/>
      <c r="K5" s="493"/>
      <c r="L5" s="493"/>
      <c r="M5" s="493"/>
    </row>
    <row r="6" spans="1:48" s="88" customFormat="1" ht="16.5" customHeight="1">
      <c r="A6" s="496" t="s">
        <v>5785</v>
      </c>
      <c r="B6" s="496"/>
      <c r="C6" s="493" t="s">
        <v>4308</v>
      </c>
      <c r="D6" s="493"/>
      <c r="E6" s="493"/>
      <c r="F6" s="493"/>
      <c r="G6" s="493"/>
      <c r="H6" s="493"/>
      <c r="I6" s="493"/>
      <c r="J6" s="493"/>
      <c r="K6" s="493"/>
      <c r="L6" s="493"/>
      <c r="M6" s="493"/>
    </row>
    <row r="7" spans="1:48" s="88" customFormat="1" ht="16.5" customHeight="1">
      <c r="A7" s="89" t="s">
        <v>1223</v>
      </c>
      <c r="B7" s="92" t="s">
        <v>2418</v>
      </c>
      <c r="C7" s="493" t="s">
        <v>4309</v>
      </c>
      <c r="D7" s="493"/>
      <c r="E7" s="493"/>
      <c r="F7" s="493"/>
      <c r="G7" s="493"/>
      <c r="H7" s="493"/>
      <c r="I7" s="493"/>
      <c r="J7" s="493"/>
      <c r="K7" s="493"/>
      <c r="L7" s="493"/>
      <c r="M7" s="493"/>
    </row>
    <row r="8" spans="1:48" s="88" customFormat="1" ht="16.5" customHeight="1">
      <c r="A8" s="89"/>
      <c r="B8" s="92" t="s">
        <v>4041</v>
      </c>
      <c r="C8" s="493" t="s">
        <v>4310</v>
      </c>
      <c r="D8" s="493"/>
      <c r="E8" s="493"/>
      <c r="F8" s="493"/>
      <c r="G8" s="493"/>
      <c r="H8" s="493"/>
      <c r="I8" s="493"/>
      <c r="J8" s="493"/>
      <c r="K8" s="493"/>
      <c r="L8" s="493"/>
      <c r="M8" s="493"/>
    </row>
    <row r="9" spans="1:48" s="88" customFormat="1" ht="16.5" customHeight="1">
      <c r="A9" s="89"/>
      <c r="B9" s="90" t="s">
        <v>4311</v>
      </c>
      <c r="C9" s="493" t="s">
        <v>4312</v>
      </c>
      <c r="D9" s="493"/>
      <c r="E9" s="493"/>
      <c r="F9" s="493"/>
      <c r="G9" s="493"/>
      <c r="H9" s="493"/>
      <c r="I9" s="493"/>
      <c r="J9" s="493"/>
      <c r="K9" s="493"/>
      <c r="L9" s="493"/>
      <c r="M9" s="493"/>
    </row>
    <row r="10" spans="1:48" s="88" customFormat="1" ht="16.5" customHeight="1">
      <c r="A10" s="89"/>
      <c r="B10" s="90" t="s">
        <v>4082</v>
      </c>
      <c r="C10" s="509" t="s">
        <v>4313</v>
      </c>
      <c r="D10" s="509"/>
      <c r="E10" s="509"/>
      <c r="F10" s="509"/>
      <c r="G10" s="509"/>
      <c r="H10" s="509"/>
      <c r="I10" s="509"/>
      <c r="J10" s="509"/>
      <c r="K10" s="509"/>
      <c r="L10" s="509"/>
      <c r="M10" s="509"/>
    </row>
    <row r="11" spans="1:48" s="88" customFormat="1" ht="16.5" customHeight="1">
      <c r="A11" s="89" t="s">
        <v>1228</v>
      </c>
      <c r="B11" s="493"/>
      <c r="C11" s="493"/>
      <c r="D11" s="493"/>
      <c r="E11" s="493"/>
      <c r="F11" s="493"/>
      <c r="G11" s="493"/>
      <c r="H11" s="493"/>
      <c r="I11" s="493"/>
      <c r="J11" s="493"/>
      <c r="K11" s="493"/>
      <c r="L11" s="493"/>
      <c r="M11" s="493"/>
    </row>
    <row r="12" spans="1:48" ht="38.25" customHeight="1">
      <c r="A12" s="89" t="s">
        <v>1229</v>
      </c>
      <c r="B12" s="493" t="s">
        <v>4314</v>
      </c>
      <c r="C12" s="493"/>
      <c r="D12" s="493"/>
      <c r="E12" s="493"/>
      <c r="F12" s="493"/>
      <c r="G12" s="493"/>
      <c r="H12" s="493"/>
      <c r="I12" s="493"/>
      <c r="J12" s="493"/>
      <c r="K12" s="493"/>
      <c r="L12" s="493"/>
      <c r="M12" s="493"/>
    </row>
    <row r="13" spans="1:48" ht="21" customHeight="1">
      <c r="B13" s="494" t="s">
        <v>2863</v>
      </c>
      <c r="C13" s="494"/>
      <c r="D13" s="494"/>
      <c r="E13" s="494"/>
      <c r="F13" s="494"/>
      <c r="G13" s="494"/>
      <c r="H13" s="494"/>
      <c r="I13" s="494"/>
      <c r="J13" s="494"/>
      <c r="K13" s="494"/>
      <c r="L13" s="495"/>
    </row>
    <row r="14" spans="1:48" s="93" customFormat="1" ht="16.5" customHeight="1"/>
    <row r="15" spans="1:48" s="93" customFormat="1" ht="16.5" customHeight="1">
      <c r="A15" s="94" t="s">
        <v>1232</v>
      </c>
      <c r="B15" s="93" t="s">
        <v>1773</v>
      </c>
    </row>
    <row r="16" spans="1:48" s="93" customFormat="1" ht="16.5" customHeight="1">
      <c r="E16" s="93" t="s">
        <v>3592</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t="s">
        <v>4315</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5" t="s">
        <v>4316</v>
      </c>
      <c r="C19" s="96" t="s">
        <v>3594</v>
      </c>
      <c r="D19" s="97" t="s">
        <v>4317</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9">
        <v>14</v>
      </c>
      <c r="C20" s="110">
        <f>AVERAGE(B20:B28)</f>
        <v>18.888888888888889</v>
      </c>
      <c r="D20" s="101">
        <v>59.111109999999996</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9">
        <v>11</v>
      </c>
      <c r="C21" s="100" t="s">
        <v>4318</v>
      </c>
      <c r="D21" s="112" t="s">
        <v>4319</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9">
        <v>14</v>
      </c>
      <c r="C22" s="110">
        <v>6.0359230000000004</v>
      </c>
      <c r="D22" s="101">
        <v>3.1294119999999999</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99">
        <v>9</v>
      </c>
      <c r="C23" s="100" t="s">
        <v>4320</v>
      </c>
      <c r="D23" s="112" t="s">
        <v>4321</v>
      </c>
      <c r="E23" s="104" t="s">
        <v>1238</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A24" s="94"/>
      <c r="B24" s="99">
        <v>24</v>
      </c>
      <c r="C24" s="110">
        <v>20</v>
      </c>
      <c r="D24" s="179">
        <f>GAMMADIST(C24,C22,D22,1)</f>
        <v>0.60922967316501397</v>
      </c>
      <c r="E24" s="108" t="s">
        <v>4322</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9">
        <v>32</v>
      </c>
      <c r="C25" s="110"/>
      <c r="D25" s="10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99">
        <v>24</v>
      </c>
      <c r="C26" s="110"/>
      <c r="D26" s="101"/>
      <c r="E26" s="93" t="s">
        <v>3592</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9">
        <v>25</v>
      </c>
      <c r="C27" s="110"/>
      <c r="D27" s="10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05">
        <v>17</v>
      </c>
      <c r="C28" s="113"/>
      <c r="D28" s="107"/>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A34" s="9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13">
      <c r="A49" s="93"/>
      <c r="B49" s="93"/>
      <c r="C49" s="93"/>
      <c r="D49" s="93"/>
      <c r="E49" s="93"/>
      <c r="F49" s="93"/>
      <c r="G49" s="93"/>
      <c r="H49" s="93"/>
      <c r="I49" s="93"/>
      <c r="J49" s="93"/>
      <c r="K49" s="93"/>
      <c r="L49" s="93"/>
      <c r="M49" s="93"/>
    </row>
    <row r="100" spans="1:13" s="88" customFormat="1" ht="26.25" customHeight="1">
      <c r="A100" s="498" t="s">
        <v>903</v>
      </c>
      <c r="B100" s="498"/>
      <c r="C100" s="499"/>
      <c r="D100" s="87"/>
      <c r="E100" s="500" t="str">
        <f>HYPERLINK("#目录!A331","跳转回到目录页")</f>
        <v>跳转回到目录页</v>
      </c>
      <c r="F100" s="501"/>
    </row>
    <row r="101" spans="1:13" s="88" customFormat="1" ht="26.25" customHeight="1">
      <c r="A101" s="502" t="s">
        <v>1216</v>
      </c>
      <c r="B101" s="502"/>
      <c r="C101" s="503" t="s">
        <v>534</v>
      </c>
      <c r="D101" s="503"/>
      <c r="E101" s="503"/>
      <c r="F101" s="503"/>
      <c r="G101" s="503"/>
      <c r="H101" s="503"/>
      <c r="I101" s="503"/>
      <c r="J101" s="503"/>
      <c r="K101" s="503"/>
      <c r="L101" s="503"/>
      <c r="M101" s="503"/>
    </row>
    <row r="102" spans="1:13" s="88" customFormat="1" ht="16.5" customHeight="1">
      <c r="A102" s="496" t="s">
        <v>1217</v>
      </c>
      <c r="B102" s="496"/>
      <c r="C102" s="493" t="s">
        <v>4323</v>
      </c>
      <c r="D102" s="493"/>
      <c r="E102" s="493"/>
      <c r="F102" s="493"/>
      <c r="G102" s="493"/>
      <c r="H102" s="493"/>
      <c r="I102" s="493"/>
      <c r="J102" s="493"/>
      <c r="K102" s="493"/>
      <c r="L102" s="493"/>
      <c r="M102" s="493"/>
    </row>
    <row r="103" spans="1:13" s="88" customFormat="1" ht="16.5" customHeight="1">
      <c r="A103" s="496" t="s">
        <v>5786</v>
      </c>
      <c r="B103" s="496"/>
      <c r="C103" s="497" t="s">
        <v>534</v>
      </c>
      <c r="D103" s="497"/>
      <c r="E103" s="497"/>
      <c r="F103" s="497"/>
      <c r="G103" s="497"/>
      <c r="H103" s="497"/>
      <c r="I103" s="497"/>
      <c r="J103" s="497"/>
      <c r="K103" s="497"/>
      <c r="L103" s="497"/>
      <c r="M103" s="497"/>
    </row>
    <row r="104" spans="1:13" s="88" customFormat="1" ht="16.5" customHeight="1">
      <c r="A104" s="496" t="s">
        <v>1220</v>
      </c>
      <c r="B104" s="496"/>
      <c r="C104" s="493" t="s">
        <v>4324</v>
      </c>
      <c r="D104" s="493"/>
      <c r="E104" s="493"/>
      <c r="F104" s="493"/>
      <c r="G104" s="493"/>
      <c r="H104" s="493"/>
      <c r="I104" s="493"/>
      <c r="J104" s="493"/>
      <c r="K104" s="493"/>
      <c r="L104" s="493"/>
      <c r="M104" s="493"/>
    </row>
    <row r="105" spans="1:13" s="88" customFormat="1" ht="16.5" customHeight="1">
      <c r="A105" s="496" t="s">
        <v>5785</v>
      </c>
      <c r="B105" s="496"/>
      <c r="C105" s="493" t="s">
        <v>4325</v>
      </c>
      <c r="D105" s="493"/>
      <c r="E105" s="493"/>
      <c r="F105" s="493"/>
      <c r="G105" s="493"/>
      <c r="H105" s="493"/>
      <c r="I105" s="493"/>
      <c r="J105" s="493"/>
      <c r="K105" s="493"/>
      <c r="L105" s="493"/>
      <c r="M105" s="493"/>
    </row>
    <row r="106" spans="1:13" s="88" customFormat="1" ht="16.5" customHeight="1">
      <c r="A106" s="89" t="s">
        <v>1223</v>
      </c>
      <c r="B106" s="92" t="s">
        <v>4156</v>
      </c>
      <c r="C106" s="493" t="s">
        <v>4326</v>
      </c>
      <c r="D106" s="493"/>
      <c r="E106" s="493"/>
      <c r="F106" s="493"/>
      <c r="G106" s="493"/>
      <c r="H106" s="493"/>
      <c r="I106" s="493"/>
      <c r="J106" s="493"/>
      <c r="K106" s="493"/>
      <c r="L106" s="493"/>
      <c r="M106" s="493"/>
    </row>
    <row r="107" spans="1:13" s="88" customFormat="1" ht="16.5" customHeight="1">
      <c r="A107" s="89"/>
      <c r="B107" s="92" t="s">
        <v>4041</v>
      </c>
      <c r="C107" s="493" t="s">
        <v>4310</v>
      </c>
      <c r="D107" s="493"/>
      <c r="E107" s="493"/>
      <c r="F107" s="493"/>
      <c r="G107" s="493"/>
      <c r="H107" s="493"/>
      <c r="I107" s="493"/>
      <c r="J107" s="493"/>
      <c r="K107" s="493"/>
      <c r="L107" s="493"/>
      <c r="M107" s="493"/>
    </row>
    <row r="108" spans="1:13" s="88" customFormat="1" ht="16.5" customHeight="1">
      <c r="A108" s="89"/>
      <c r="B108" s="90" t="s">
        <v>4311</v>
      </c>
      <c r="C108" s="493" t="s">
        <v>4327</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61.5" customHeight="1">
      <c r="A110" s="89" t="s">
        <v>1229</v>
      </c>
      <c r="B110" s="493" t="s">
        <v>4328</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2" s="93" customFormat="1" ht="16.5" customHeight="1">
      <c r="A113" s="94" t="s">
        <v>1232</v>
      </c>
      <c r="B113" s="93" t="s">
        <v>1773</v>
      </c>
    </row>
    <row r="114" spans="1:12" ht="16.5" customHeight="1">
      <c r="B114" s="93"/>
      <c r="C114" s="93"/>
      <c r="D114" s="93"/>
      <c r="E114" s="93"/>
      <c r="F114" s="93"/>
      <c r="G114" s="93"/>
      <c r="H114" s="93"/>
      <c r="I114" s="93"/>
      <c r="J114" s="93"/>
      <c r="K114" s="93"/>
      <c r="L114" s="93"/>
    </row>
    <row r="115" spans="1:12" ht="16.5" customHeight="1">
      <c r="B115" s="93"/>
      <c r="C115" s="93"/>
      <c r="D115" s="93"/>
      <c r="E115" s="93"/>
      <c r="F115" s="93"/>
      <c r="G115" s="93"/>
      <c r="H115" s="93"/>
      <c r="I115" s="93"/>
      <c r="J115" s="93"/>
      <c r="K115" s="93"/>
      <c r="L115" s="93"/>
    </row>
    <row r="116" spans="1:12" ht="16.5" customHeight="1">
      <c r="B116" s="93" t="s">
        <v>4329</v>
      </c>
      <c r="C116" s="93"/>
      <c r="D116" s="93"/>
      <c r="E116" s="93"/>
      <c r="F116" s="93"/>
      <c r="G116" s="93"/>
      <c r="H116" s="93"/>
      <c r="I116" s="93"/>
      <c r="J116" s="93"/>
      <c r="K116" s="93"/>
      <c r="L116" s="93"/>
    </row>
    <row r="117" spans="1:12" ht="16.5" customHeight="1">
      <c r="B117" s="93" t="s">
        <v>4330</v>
      </c>
      <c r="C117" s="93"/>
      <c r="D117" s="93"/>
      <c r="E117" s="93"/>
      <c r="F117" s="93"/>
      <c r="G117" s="93"/>
      <c r="H117" s="93"/>
      <c r="I117" s="93"/>
      <c r="J117" s="93"/>
      <c r="K117" s="93"/>
      <c r="L117" s="93"/>
    </row>
    <row r="118" spans="1:12" ht="16.5" customHeight="1">
      <c r="B118" s="518" t="s">
        <v>4331</v>
      </c>
      <c r="C118" s="518"/>
      <c r="D118" s="518"/>
      <c r="E118" s="518"/>
      <c r="F118" s="93"/>
      <c r="G118" s="93"/>
      <c r="H118" s="93"/>
      <c r="I118" s="93"/>
      <c r="J118" s="93"/>
      <c r="K118" s="93"/>
      <c r="L118" s="93"/>
    </row>
    <row r="119" spans="1:12" ht="16.5" customHeight="1">
      <c r="B119" s="95" t="s">
        <v>4069</v>
      </c>
      <c r="C119" s="96" t="s">
        <v>4318</v>
      </c>
      <c r="D119" s="96" t="s">
        <v>4319</v>
      </c>
      <c r="E119" s="97" t="s">
        <v>4320</v>
      </c>
      <c r="F119" s="104" t="s">
        <v>1238</v>
      </c>
      <c r="G119" s="93"/>
      <c r="H119" s="93"/>
      <c r="I119" s="93"/>
      <c r="J119" s="93"/>
      <c r="K119" s="93"/>
      <c r="L119" s="93"/>
    </row>
    <row r="120" spans="1:12" ht="16.5" customHeight="1">
      <c r="B120" s="105">
        <v>0.95</v>
      </c>
      <c r="C120" s="113">
        <v>6</v>
      </c>
      <c r="D120" s="113">
        <v>3</v>
      </c>
      <c r="E120" s="107">
        <f>GAMMAINV(B120,C120,D120)</f>
        <v>31.539104726224593</v>
      </c>
      <c r="F120" s="108" t="s">
        <v>4332</v>
      </c>
      <c r="G120" s="93"/>
      <c r="H120" s="93"/>
      <c r="I120" s="93"/>
      <c r="J120" s="93"/>
      <c r="K120" s="93"/>
      <c r="L120" s="93"/>
    </row>
    <row r="121" spans="1:12" ht="16.5" customHeight="1">
      <c r="B121" s="93"/>
      <c r="C121" s="93"/>
      <c r="D121" s="93"/>
      <c r="E121" s="93"/>
      <c r="F121" s="93"/>
      <c r="G121" s="93"/>
      <c r="H121" s="93"/>
      <c r="I121" s="93"/>
      <c r="J121" s="93"/>
      <c r="K121" s="93"/>
      <c r="L121" s="93"/>
    </row>
    <row r="122" spans="1:12">
      <c r="B122" s="93"/>
      <c r="C122" s="93"/>
      <c r="D122" s="93"/>
      <c r="E122" s="93"/>
      <c r="F122" s="93"/>
      <c r="G122" s="93"/>
      <c r="H122" s="93"/>
      <c r="I122" s="93"/>
      <c r="J122" s="93"/>
      <c r="K122" s="93"/>
      <c r="L122" s="93"/>
    </row>
    <row r="123" spans="1:12">
      <c r="B123" s="93"/>
      <c r="C123" s="93"/>
      <c r="D123" s="93"/>
      <c r="E123" s="93"/>
      <c r="F123" s="93"/>
      <c r="G123" s="93"/>
      <c r="H123" s="93"/>
      <c r="I123" s="93"/>
      <c r="J123" s="93"/>
      <c r="K123" s="93"/>
      <c r="L123" s="93"/>
    </row>
    <row r="200" spans="1:13" s="88" customFormat="1" ht="26.25" customHeight="1">
      <c r="A200" s="498" t="s">
        <v>905</v>
      </c>
      <c r="B200" s="498"/>
      <c r="C200" s="499"/>
      <c r="D200" s="87"/>
      <c r="E200" s="500" t="str">
        <f>HYPERLINK("#目录!A332","跳转回到目录页")</f>
        <v>跳转回到目录页</v>
      </c>
      <c r="F200" s="501"/>
    </row>
    <row r="201" spans="1:13" s="88" customFormat="1" ht="26.25" customHeight="1">
      <c r="A201" s="502" t="s">
        <v>1216</v>
      </c>
      <c r="B201" s="502"/>
      <c r="C201" s="503" t="s">
        <v>535</v>
      </c>
      <c r="D201" s="503"/>
      <c r="E201" s="503"/>
      <c r="F201" s="503"/>
      <c r="G201" s="503"/>
      <c r="H201" s="503"/>
      <c r="I201" s="503"/>
      <c r="J201" s="503"/>
      <c r="K201" s="503"/>
      <c r="L201" s="503"/>
      <c r="M201" s="503"/>
    </row>
    <row r="202" spans="1:13" s="88" customFormat="1" ht="16.5" customHeight="1">
      <c r="A202" s="496" t="s">
        <v>1217</v>
      </c>
      <c r="B202" s="496"/>
      <c r="C202" s="493" t="s">
        <v>4333</v>
      </c>
      <c r="D202" s="493"/>
      <c r="E202" s="493"/>
      <c r="F202" s="493"/>
      <c r="G202" s="493"/>
      <c r="H202" s="493"/>
      <c r="I202" s="493"/>
      <c r="J202" s="493"/>
      <c r="K202" s="493"/>
      <c r="L202" s="493"/>
      <c r="M202" s="493"/>
    </row>
    <row r="203" spans="1:13" s="88" customFormat="1" ht="16.5" customHeight="1">
      <c r="A203" s="496" t="s">
        <v>5786</v>
      </c>
      <c r="B203" s="496"/>
      <c r="C203" s="497" t="s">
        <v>535</v>
      </c>
      <c r="D203" s="497"/>
      <c r="E203" s="497"/>
      <c r="F203" s="497"/>
      <c r="G203" s="497"/>
      <c r="H203" s="497"/>
      <c r="I203" s="497"/>
      <c r="J203" s="497"/>
      <c r="K203" s="497"/>
      <c r="L203" s="497"/>
      <c r="M203" s="497"/>
    </row>
    <row r="204" spans="1:13" s="88" customFormat="1" ht="16.5" customHeight="1">
      <c r="A204" s="496" t="s">
        <v>1220</v>
      </c>
      <c r="B204" s="496"/>
      <c r="C204" s="493" t="s">
        <v>4334</v>
      </c>
      <c r="D204" s="493"/>
      <c r="E204" s="493"/>
      <c r="F204" s="493"/>
      <c r="G204" s="493"/>
      <c r="H204" s="493"/>
      <c r="I204" s="493"/>
      <c r="J204" s="493"/>
      <c r="K204" s="493"/>
      <c r="L204" s="493"/>
      <c r="M204" s="493"/>
    </row>
    <row r="205" spans="1:13" s="88" customFormat="1" ht="16.5" customHeight="1">
      <c r="A205" s="496" t="s">
        <v>5785</v>
      </c>
      <c r="B205" s="496"/>
      <c r="C205" s="493" t="s">
        <v>4335</v>
      </c>
      <c r="D205" s="493"/>
      <c r="E205" s="493"/>
      <c r="F205" s="493"/>
      <c r="G205" s="493"/>
      <c r="H205" s="493"/>
      <c r="I205" s="493"/>
      <c r="J205" s="493"/>
      <c r="K205" s="493"/>
      <c r="L205" s="493"/>
      <c r="M205" s="493"/>
    </row>
    <row r="206" spans="1:13" s="88" customFormat="1" ht="16.5" customHeight="1">
      <c r="A206" s="89" t="s">
        <v>1223</v>
      </c>
      <c r="B206" s="92" t="s">
        <v>2418</v>
      </c>
      <c r="C206" s="493" t="s">
        <v>4336</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38.25" customHeight="1">
      <c r="A210" s="89" t="s">
        <v>1229</v>
      </c>
      <c r="B210" s="493" t="s">
        <v>4337</v>
      </c>
      <c r="C210" s="493"/>
      <c r="D210" s="493"/>
      <c r="E210" s="493"/>
      <c r="F210" s="493"/>
      <c r="G210" s="493"/>
      <c r="H210" s="493"/>
      <c r="I210" s="493"/>
      <c r="J210" s="493"/>
      <c r="K210" s="493"/>
      <c r="L210" s="493"/>
      <c r="M210" s="49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row r="216" spans="1:13" ht="16.5" customHeight="1">
      <c r="B216" s="4" t="s">
        <v>4338</v>
      </c>
    </row>
    <row r="217" spans="1:13" ht="16.5" customHeight="1">
      <c r="B217" s="180" t="s">
        <v>4181</v>
      </c>
      <c r="C217" s="181" t="s">
        <v>4339</v>
      </c>
      <c r="D217" s="104" t="s">
        <v>1238</v>
      </c>
    </row>
    <row r="218" spans="1:13" ht="16.5" customHeight="1">
      <c r="B218" s="182">
        <v>10</v>
      </c>
      <c r="C218" s="183">
        <f>GAMMALN(B218)</f>
        <v>12.801827480081471</v>
      </c>
      <c r="D218" s="108" t="s">
        <v>4340</v>
      </c>
    </row>
    <row r="220" spans="1:13">
      <c r="E220" s="4" t="s">
        <v>3592</v>
      </c>
    </row>
  </sheetData>
  <mergeCells count="56">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C10:M10"/>
    <mergeCell ref="B11:M11"/>
    <mergeCell ref="B12:M12"/>
    <mergeCell ref="B13:L13"/>
    <mergeCell ref="A100:C100"/>
    <mergeCell ref="E100:F100"/>
    <mergeCell ref="A101:B101"/>
    <mergeCell ref="C101:M101"/>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8:E118"/>
    <mergeCell ref="A200:C200"/>
    <mergeCell ref="E200:F200"/>
    <mergeCell ref="A201:B201"/>
    <mergeCell ref="C201:M201"/>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pageSetup paperSize="9" orientation="portrait" horizontalDpi="0" verticalDpi="0"/>
  <headerFooter scaleWithDoc="0"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7"/>
  <dimension ref="A1:AV123"/>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750</v>
      </c>
      <c r="B1" s="498"/>
      <c r="C1" s="499"/>
      <c r="D1" s="87"/>
      <c r="E1" s="500" t="str">
        <f>HYPERLINK("#目录!A334","跳转回到目录页")</f>
        <v>跳转回到目录页</v>
      </c>
      <c r="F1" s="501"/>
    </row>
    <row r="2" spans="1:13" s="88" customFormat="1" ht="26.25" customHeight="1">
      <c r="A2" s="502" t="s">
        <v>1216</v>
      </c>
      <c r="B2" s="502"/>
      <c r="C2" s="503" t="s">
        <v>537</v>
      </c>
      <c r="D2" s="503"/>
      <c r="E2" s="503"/>
      <c r="F2" s="503"/>
      <c r="G2" s="503"/>
      <c r="H2" s="503"/>
      <c r="I2" s="503"/>
      <c r="J2" s="503"/>
      <c r="K2" s="503"/>
      <c r="L2" s="503"/>
      <c r="M2" s="503"/>
    </row>
    <row r="3" spans="1:13" s="88" customFormat="1" ht="16.5" customHeight="1">
      <c r="A3" s="496" t="s">
        <v>1217</v>
      </c>
      <c r="B3" s="496"/>
      <c r="C3" s="493" t="s">
        <v>4341</v>
      </c>
      <c r="D3" s="493"/>
      <c r="E3" s="493"/>
      <c r="F3" s="493"/>
      <c r="G3" s="493"/>
      <c r="H3" s="493"/>
      <c r="I3" s="493"/>
      <c r="J3" s="493"/>
      <c r="K3" s="493"/>
      <c r="L3" s="493"/>
      <c r="M3" s="493"/>
    </row>
    <row r="4" spans="1:13" s="88" customFormat="1" ht="16.5" customHeight="1">
      <c r="A4" s="496" t="s">
        <v>5786</v>
      </c>
      <c r="B4" s="496"/>
      <c r="C4" s="497" t="s">
        <v>537</v>
      </c>
      <c r="D4" s="497"/>
      <c r="E4" s="497"/>
      <c r="F4" s="497"/>
      <c r="G4" s="497"/>
      <c r="H4" s="497"/>
      <c r="I4" s="497"/>
      <c r="J4" s="497"/>
      <c r="K4" s="497"/>
      <c r="L4" s="497"/>
      <c r="M4" s="497"/>
    </row>
    <row r="5" spans="1:13" s="88" customFormat="1" ht="16.5" customHeight="1">
      <c r="A5" s="496" t="s">
        <v>1220</v>
      </c>
      <c r="B5" s="496"/>
      <c r="C5" s="493" t="s">
        <v>4342</v>
      </c>
      <c r="D5" s="493"/>
      <c r="E5" s="493"/>
      <c r="F5" s="493"/>
      <c r="G5" s="493"/>
      <c r="H5" s="493"/>
      <c r="I5" s="493"/>
      <c r="J5" s="493"/>
      <c r="K5" s="493"/>
      <c r="L5" s="493"/>
      <c r="M5" s="493"/>
    </row>
    <row r="6" spans="1:13" s="88" customFormat="1" ht="16.5" customHeight="1">
      <c r="A6" s="496" t="s">
        <v>5785</v>
      </c>
      <c r="B6" s="496"/>
      <c r="C6" s="493" t="s">
        <v>4343</v>
      </c>
      <c r="D6" s="493"/>
      <c r="E6" s="493"/>
      <c r="F6" s="493"/>
      <c r="G6" s="493"/>
      <c r="H6" s="493"/>
      <c r="I6" s="493"/>
      <c r="J6" s="493"/>
      <c r="K6" s="493"/>
      <c r="L6" s="493"/>
      <c r="M6" s="493"/>
    </row>
    <row r="7" spans="1:13" s="88" customFormat="1" ht="16.5" customHeight="1">
      <c r="A7" s="89" t="s">
        <v>1223</v>
      </c>
      <c r="B7" s="92" t="s">
        <v>2418</v>
      </c>
      <c r="C7" s="493" t="s">
        <v>4344</v>
      </c>
      <c r="D7" s="493"/>
      <c r="E7" s="493"/>
      <c r="F7" s="493"/>
      <c r="G7" s="493"/>
      <c r="H7" s="493"/>
      <c r="I7" s="493"/>
      <c r="J7" s="493"/>
      <c r="K7" s="493"/>
      <c r="L7" s="493"/>
      <c r="M7" s="493"/>
    </row>
    <row r="8" spans="1:13" s="88" customFormat="1" ht="16.5" customHeight="1">
      <c r="A8" s="89"/>
      <c r="B8" s="92" t="s">
        <v>4041</v>
      </c>
      <c r="C8" s="493" t="s">
        <v>4310</v>
      </c>
      <c r="D8" s="493"/>
      <c r="E8" s="493"/>
      <c r="F8" s="493"/>
      <c r="G8" s="493"/>
      <c r="H8" s="493"/>
      <c r="I8" s="493"/>
      <c r="J8" s="493"/>
      <c r="K8" s="493"/>
      <c r="L8" s="493"/>
      <c r="M8" s="493"/>
    </row>
    <row r="9" spans="1:13" s="88" customFormat="1" ht="16.5" customHeight="1">
      <c r="A9" s="89"/>
      <c r="B9" s="90" t="s">
        <v>4311</v>
      </c>
      <c r="C9" s="493" t="s">
        <v>4310</v>
      </c>
      <c r="D9" s="493"/>
      <c r="E9" s="493"/>
      <c r="F9" s="493"/>
      <c r="G9" s="493"/>
      <c r="H9" s="493"/>
      <c r="I9" s="493"/>
      <c r="J9" s="493"/>
      <c r="K9" s="493"/>
      <c r="L9" s="493"/>
      <c r="M9" s="493"/>
    </row>
    <row r="10" spans="1:13" s="88" customFormat="1" ht="16.5" customHeight="1">
      <c r="A10" s="89"/>
      <c r="B10" s="90" t="s">
        <v>3007</v>
      </c>
      <c r="C10" s="509" t="s">
        <v>4345</v>
      </c>
      <c r="D10" s="509"/>
      <c r="E10" s="509"/>
      <c r="F10" s="509"/>
      <c r="G10" s="509"/>
      <c r="H10" s="509"/>
      <c r="I10" s="509"/>
      <c r="J10" s="509"/>
      <c r="K10" s="509"/>
      <c r="L10" s="509"/>
      <c r="M10" s="509"/>
    </row>
    <row r="11" spans="1:13" s="88" customFormat="1" ht="16.5" customHeight="1">
      <c r="A11" s="89"/>
      <c r="B11" s="90" t="s">
        <v>4346</v>
      </c>
      <c r="C11" s="509" t="s">
        <v>4347</v>
      </c>
      <c r="D11" s="509"/>
      <c r="E11" s="509"/>
      <c r="F11" s="509"/>
      <c r="G11" s="509"/>
      <c r="H11" s="509"/>
      <c r="I11" s="509"/>
      <c r="J11" s="509"/>
      <c r="K11" s="509"/>
      <c r="L11" s="509"/>
      <c r="M11" s="509"/>
    </row>
    <row r="12" spans="1:13" s="88" customFormat="1" ht="16.5" customHeight="1">
      <c r="A12" s="89" t="s">
        <v>1228</v>
      </c>
      <c r="B12" s="493"/>
      <c r="C12" s="493"/>
      <c r="D12" s="493"/>
      <c r="E12" s="493"/>
      <c r="F12" s="493"/>
      <c r="G12" s="493"/>
      <c r="H12" s="493"/>
      <c r="I12" s="493"/>
      <c r="J12" s="493"/>
      <c r="K12" s="493"/>
      <c r="L12" s="493"/>
      <c r="M12" s="493"/>
    </row>
    <row r="13" spans="1:13" ht="50.25" customHeight="1">
      <c r="A13" s="89" t="s">
        <v>1229</v>
      </c>
      <c r="B13" s="493" t="s">
        <v>4348</v>
      </c>
      <c r="C13" s="493"/>
      <c r="D13" s="493"/>
      <c r="E13" s="493"/>
      <c r="F13" s="493"/>
      <c r="G13" s="493"/>
      <c r="H13" s="493"/>
      <c r="I13" s="493"/>
      <c r="J13" s="493"/>
      <c r="K13" s="493"/>
      <c r="L13" s="493"/>
      <c r="M13" s="493"/>
    </row>
    <row r="14" spans="1:13" ht="21" customHeight="1">
      <c r="B14" s="494" t="s">
        <v>2863</v>
      </c>
      <c r="C14" s="494"/>
      <c r="D14" s="494"/>
      <c r="E14" s="494"/>
      <c r="F14" s="494"/>
      <c r="G14" s="494"/>
      <c r="H14" s="494"/>
      <c r="I14" s="494"/>
      <c r="J14" s="494"/>
      <c r="K14" s="494"/>
      <c r="L14" s="495"/>
    </row>
    <row r="15" spans="1:13" s="93" customFormat="1" ht="16.5" customHeight="1"/>
    <row r="16" spans="1:13" s="93" customFormat="1" ht="16.5" customHeight="1">
      <c r="A16" s="94" t="s">
        <v>1232</v>
      </c>
      <c r="B16" s="93" t="s">
        <v>1773</v>
      </c>
      <c r="E16" s="93" t="s">
        <v>3592</v>
      </c>
    </row>
    <row r="17" spans="1:48" s="93" customFormat="1" ht="16.5" customHeight="1">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E18" s="93" t="s">
        <v>3592</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565" t="s">
        <v>4349</v>
      </c>
      <c r="C19" s="565"/>
      <c r="D19" s="565"/>
      <c r="E19" s="565"/>
      <c r="F19" s="565"/>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5" t="s">
        <v>4350</v>
      </c>
      <c r="C20" s="96" t="s">
        <v>4318</v>
      </c>
      <c r="D20" s="96" t="s">
        <v>4319</v>
      </c>
      <c r="E20" s="96" t="s">
        <v>4351</v>
      </c>
      <c r="F20" s="97" t="s">
        <v>4352</v>
      </c>
      <c r="H20" s="94" t="s">
        <v>4353</v>
      </c>
      <c r="I20" s="104" t="s">
        <v>1238</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05">
        <v>4</v>
      </c>
      <c r="C21" s="113">
        <v>3</v>
      </c>
      <c r="D21" s="113">
        <v>6</v>
      </c>
      <c r="E21" s="113">
        <v>0</v>
      </c>
      <c r="F21" s="107">
        <v>11</v>
      </c>
      <c r="H21" s="93">
        <f>BETADIST(B21,C21,D21,E21,F21)</f>
        <v>0.60428544595733369</v>
      </c>
      <c r="I21" s="108" t="s">
        <v>4354</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A25" s="94"/>
      <c r="E25" s="178"/>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752</v>
      </c>
      <c r="B100" s="498"/>
      <c r="C100" s="499"/>
      <c r="D100" s="87"/>
      <c r="E100" s="500" t="str">
        <f>HYPERLINK("#目录!A335","跳转回到目录页")</f>
        <v>跳转回到目录页</v>
      </c>
      <c r="F100" s="501"/>
    </row>
    <row r="101" spans="1:13" s="88" customFormat="1" ht="26.25" customHeight="1">
      <c r="A101" s="502" t="s">
        <v>1216</v>
      </c>
      <c r="B101" s="502"/>
      <c r="C101" s="503" t="s">
        <v>538</v>
      </c>
      <c r="D101" s="503"/>
      <c r="E101" s="503"/>
      <c r="F101" s="503"/>
      <c r="G101" s="503"/>
      <c r="H101" s="503"/>
      <c r="I101" s="503"/>
      <c r="J101" s="503"/>
      <c r="K101" s="503"/>
      <c r="L101" s="503"/>
      <c r="M101" s="503"/>
    </row>
    <row r="102" spans="1:13" s="88" customFormat="1" ht="24.75" customHeight="1">
      <c r="A102" s="496" t="s">
        <v>1217</v>
      </c>
      <c r="B102" s="496"/>
      <c r="C102" s="493" t="s">
        <v>4355</v>
      </c>
      <c r="D102" s="493"/>
      <c r="E102" s="493"/>
      <c r="F102" s="493"/>
      <c r="G102" s="493"/>
      <c r="H102" s="493"/>
      <c r="I102" s="493"/>
      <c r="J102" s="493"/>
      <c r="K102" s="493"/>
      <c r="L102" s="493"/>
      <c r="M102" s="493"/>
    </row>
    <row r="103" spans="1:13" s="88" customFormat="1" ht="16.5" customHeight="1">
      <c r="A103" s="496" t="s">
        <v>5786</v>
      </c>
      <c r="B103" s="496"/>
      <c r="C103" s="497" t="s">
        <v>538</v>
      </c>
      <c r="D103" s="497"/>
      <c r="E103" s="497"/>
      <c r="F103" s="497"/>
      <c r="G103" s="497"/>
      <c r="H103" s="497"/>
      <c r="I103" s="497"/>
      <c r="J103" s="497"/>
      <c r="K103" s="497"/>
      <c r="L103" s="497"/>
      <c r="M103" s="497"/>
    </row>
    <row r="104" spans="1:13" s="88" customFormat="1" ht="16.5" customHeight="1">
      <c r="A104" s="496" t="s">
        <v>1220</v>
      </c>
      <c r="B104" s="496"/>
      <c r="C104" s="493" t="s">
        <v>4356</v>
      </c>
      <c r="D104" s="493"/>
      <c r="E104" s="493"/>
      <c r="F104" s="493"/>
      <c r="G104" s="493"/>
      <c r="H104" s="493"/>
      <c r="I104" s="493"/>
      <c r="J104" s="493"/>
      <c r="K104" s="493"/>
      <c r="L104" s="493"/>
      <c r="M104" s="493"/>
    </row>
    <row r="105" spans="1:13" s="88" customFormat="1" ht="16.5" customHeight="1">
      <c r="A105" s="496" t="s">
        <v>5785</v>
      </c>
      <c r="B105" s="496"/>
      <c r="C105" s="493" t="s">
        <v>4357</v>
      </c>
      <c r="D105" s="493"/>
      <c r="E105" s="493"/>
      <c r="F105" s="493"/>
      <c r="G105" s="493"/>
      <c r="H105" s="493"/>
      <c r="I105" s="493"/>
      <c r="J105" s="493"/>
      <c r="K105" s="493"/>
      <c r="L105" s="493"/>
      <c r="M105" s="493"/>
    </row>
    <row r="106" spans="1:13" s="88" customFormat="1" ht="16.5" customHeight="1">
      <c r="A106" s="89" t="s">
        <v>1223</v>
      </c>
      <c r="B106" s="92" t="s">
        <v>4156</v>
      </c>
      <c r="C106" s="493" t="s">
        <v>4358</v>
      </c>
      <c r="D106" s="493"/>
      <c r="E106" s="493"/>
      <c r="F106" s="493"/>
      <c r="G106" s="493"/>
      <c r="H106" s="493"/>
      <c r="I106" s="493"/>
      <c r="J106" s="493"/>
      <c r="K106" s="493"/>
      <c r="L106" s="493"/>
      <c r="M106" s="493"/>
    </row>
    <row r="107" spans="1:13" s="88" customFormat="1" ht="16.5" customHeight="1">
      <c r="A107" s="89"/>
      <c r="B107" s="92" t="s">
        <v>4041</v>
      </c>
      <c r="C107" s="493" t="s">
        <v>4310</v>
      </c>
      <c r="D107" s="493"/>
      <c r="E107" s="493"/>
      <c r="F107" s="493"/>
      <c r="G107" s="493"/>
      <c r="H107" s="493"/>
      <c r="I107" s="493"/>
      <c r="J107" s="493"/>
      <c r="K107" s="493"/>
      <c r="L107" s="493"/>
      <c r="M107" s="493"/>
    </row>
    <row r="108" spans="1:13" s="88" customFormat="1" ht="16.5" customHeight="1">
      <c r="A108" s="89"/>
      <c r="B108" s="92" t="s">
        <v>4311</v>
      </c>
      <c r="C108" s="509" t="s">
        <v>4310</v>
      </c>
      <c r="D108" s="509"/>
      <c r="E108" s="509"/>
      <c r="F108" s="509"/>
      <c r="G108" s="509"/>
      <c r="H108" s="509"/>
      <c r="I108" s="509"/>
      <c r="J108" s="509"/>
      <c r="K108" s="509"/>
      <c r="L108" s="509"/>
      <c r="M108" s="509"/>
    </row>
    <row r="109" spans="1:13" s="88" customFormat="1" ht="16.5" customHeight="1">
      <c r="A109" s="89"/>
      <c r="B109" s="92" t="s">
        <v>3007</v>
      </c>
      <c r="C109" s="509" t="s">
        <v>4345</v>
      </c>
      <c r="D109" s="509"/>
      <c r="E109" s="509"/>
      <c r="F109" s="509"/>
      <c r="G109" s="509"/>
      <c r="H109" s="509"/>
      <c r="I109" s="509"/>
      <c r="J109" s="509"/>
      <c r="K109" s="509"/>
      <c r="L109" s="509"/>
      <c r="M109" s="509"/>
    </row>
    <row r="110" spans="1:13" s="88" customFormat="1" ht="16.5" customHeight="1">
      <c r="A110" s="89"/>
      <c r="B110" s="90" t="s">
        <v>4346</v>
      </c>
      <c r="C110" s="493" t="s">
        <v>4347</v>
      </c>
      <c r="D110" s="493"/>
      <c r="E110" s="493"/>
      <c r="F110" s="493"/>
      <c r="G110" s="493"/>
      <c r="H110" s="493"/>
      <c r="I110" s="493"/>
      <c r="J110" s="493"/>
      <c r="K110" s="493"/>
      <c r="L110" s="493"/>
      <c r="M110" s="493"/>
    </row>
    <row r="111" spans="1:13" s="88" customFormat="1" ht="16.5" customHeight="1">
      <c r="A111" s="89" t="s">
        <v>1228</v>
      </c>
      <c r="B111" s="493"/>
      <c r="C111" s="493"/>
      <c r="D111" s="493"/>
      <c r="E111" s="493"/>
      <c r="F111" s="493"/>
      <c r="G111" s="493"/>
      <c r="H111" s="493"/>
      <c r="I111" s="493"/>
      <c r="J111" s="493"/>
      <c r="K111" s="493"/>
      <c r="L111" s="493"/>
      <c r="M111" s="493"/>
    </row>
    <row r="112" spans="1:13" ht="75" customHeight="1">
      <c r="A112" s="89" t="s">
        <v>1229</v>
      </c>
      <c r="B112" s="493" t="s">
        <v>4359</v>
      </c>
      <c r="C112" s="493"/>
      <c r="D112" s="493"/>
      <c r="E112" s="493"/>
      <c r="F112" s="493"/>
      <c r="G112" s="493"/>
      <c r="H112" s="493"/>
      <c r="I112" s="493"/>
      <c r="J112" s="493"/>
      <c r="K112" s="493"/>
      <c r="L112" s="493"/>
      <c r="M112" s="493"/>
    </row>
    <row r="113" spans="1:12" ht="21" customHeight="1">
      <c r="B113" s="494" t="s">
        <v>2863</v>
      </c>
      <c r="C113" s="494"/>
      <c r="D113" s="494"/>
      <c r="E113" s="494"/>
      <c r="F113" s="494"/>
      <c r="G113" s="494"/>
      <c r="H113" s="494"/>
      <c r="I113" s="494"/>
      <c r="J113" s="494"/>
      <c r="K113" s="494"/>
      <c r="L113" s="495"/>
    </row>
    <row r="114" spans="1:12" s="93" customFormat="1" ht="16.5" customHeight="1"/>
    <row r="115" spans="1:12" s="93" customFormat="1" ht="16.5" customHeight="1">
      <c r="A115" s="94" t="s">
        <v>1232</v>
      </c>
      <c r="B115" s="93" t="s">
        <v>1773</v>
      </c>
      <c r="E115" s="4" t="s">
        <v>3592</v>
      </c>
    </row>
    <row r="116" spans="1:12" ht="16.5" customHeight="1"/>
    <row r="117" spans="1:12" ht="16.5" customHeight="1">
      <c r="B117" s="93"/>
      <c r="C117" s="93"/>
      <c r="D117" s="93"/>
      <c r="E117" s="93" t="s">
        <v>3592</v>
      </c>
      <c r="F117" s="93"/>
      <c r="G117" s="93"/>
      <c r="H117" s="93"/>
      <c r="I117" s="93"/>
    </row>
    <row r="118" spans="1:12" ht="16.5" customHeight="1">
      <c r="B118" s="565" t="s">
        <v>4349</v>
      </c>
      <c r="C118" s="565"/>
      <c r="D118" s="565"/>
      <c r="E118" s="565"/>
      <c r="F118" s="565"/>
      <c r="G118" s="93"/>
      <c r="H118" s="93"/>
      <c r="I118" s="93"/>
    </row>
    <row r="119" spans="1:12" ht="16.5" customHeight="1">
      <c r="B119" s="95" t="s">
        <v>4353</v>
      </c>
      <c r="C119" s="96" t="s">
        <v>4318</v>
      </c>
      <c r="D119" s="96" t="s">
        <v>4319</v>
      </c>
      <c r="E119" s="96" t="s">
        <v>4351</v>
      </c>
      <c r="F119" s="97" t="s">
        <v>4352</v>
      </c>
      <c r="G119" s="93"/>
      <c r="H119" s="94" t="s">
        <v>4350</v>
      </c>
      <c r="I119" s="104" t="s">
        <v>1238</v>
      </c>
    </row>
    <row r="120" spans="1:12" ht="16.5" customHeight="1">
      <c r="B120" s="105">
        <v>0.5</v>
      </c>
      <c r="C120" s="113">
        <v>3</v>
      </c>
      <c r="D120" s="113">
        <v>6</v>
      </c>
      <c r="E120" s="113">
        <v>0</v>
      </c>
      <c r="F120" s="107">
        <v>11</v>
      </c>
      <c r="G120" s="93"/>
      <c r="H120" s="93">
        <f>BETAINV(B120,C120,D120,E120,F120)</f>
        <v>3.5257086402722382</v>
      </c>
      <c r="I120" s="108" t="s">
        <v>4360</v>
      </c>
    </row>
    <row r="121" spans="1:12" ht="16.5" customHeight="1">
      <c r="B121" s="93"/>
      <c r="C121" s="93"/>
      <c r="D121" s="93"/>
      <c r="E121" s="93"/>
      <c r="F121" s="93"/>
      <c r="G121" s="93"/>
      <c r="H121" s="93"/>
      <c r="I121" s="93"/>
    </row>
    <row r="122" spans="1:12" ht="16.5" customHeight="1">
      <c r="B122" s="93"/>
      <c r="C122" s="93"/>
      <c r="D122" s="93"/>
      <c r="E122" s="93"/>
      <c r="F122" s="93"/>
      <c r="G122" s="93"/>
      <c r="H122" s="93"/>
      <c r="I122" s="93"/>
    </row>
    <row r="123" spans="1:12" ht="16.5" customHeight="1"/>
  </sheetData>
  <mergeCells count="42">
    <mergeCell ref="A1:C1"/>
    <mergeCell ref="E1:F1"/>
    <mergeCell ref="A2:B2"/>
    <mergeCell ref="C2:M2"/>
    <mergeCell ref="A3:B3"/>
    <mergeCell ref="C3:M3"/>
    <mergeCell ref="A4:B4"/>
    <mergeCell ref="C4:M4"/>
    <mergeCell ref="A5:B5"/>
    <mergeCell ref="C5:M5"/>
    <mergeCell ref="A6:B6"/>
    <mergeCell ref="C6:M6"/>
    <mergeCell ref="A101:B101"/>
    <mergeCell ref="C101:M101"/>
    <mergeCell ref="C7:M7"/>
    <mergeCell ref="C8:M8"/>
    <mergeCell ref="C9:M9"/>
    <mergeCell ref="C10:M10"/>
    <mergeCell ref="C11:M11"/>
    <mergeCell ref="B12:M12"/>
    <mergeCell ref="B13:M13"/>
    <mergeCell ref="B14:L14"/>
    <mergeCell ref="B19:F19"/>
    <mergeCell ref="A100:C100"/>
    <mergeCell ref="E100:F100"/>
    <mergeCell ref="C109:M109"/>
    <mergeCell ref="A102:B102"/>
    <mergeCell ref="C102:M102"/>
    <mergeCell ref="A103:B103"/>
    <mergeCell ref="C103:M103"/>
    <mergeCell ref="A104:B104"/>
    <mergeCell ref="C104:M104"/>
    <mergeCell ref="A105:B105"/>
    <mergeCell ref="C105:M105"/>
    <mergeCell ref="C106:M106"/>
    <mergeCell ref="C107:M107"/>
    <mergeCell ref="C108:M108"/>
    <mergeCell ref="C110:M110"/>
    <mergeCell ref="B111:M111"/>
    <mergeCell ref="B112:M112"/>
    <mergeCell ref="B113:L113"/>
    <mergeCell ref="B118:F118"/>
  </mergeCells>
  <phoneticPr fontId="2" type="noConversion"/>
  <pageMargins left="0.75" right="0.75" top="1" bottom="1" header="0.5" footer="0.5"/>
  <headerFooter scaleWithDoc="0"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dimension ref="A1:AV219"/>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48" s="88" customFormat="1" ht="26.25" customHeight="1">
      <c r="A1" s="498" t="s">
        <v>1209</v>
      </c>
      <c r="B1" s="498"/>
      <c r="C1" s="499"/>
      <c r="D1" s="87"/>
      <c r="E1" s="500" t="str">
        <f>HYPERLINK("#目录!A319","跳转回到目录页")</f>
        <v>跳转回到目录页</v>
      </c>
      <c r="F1" s="501"/>
    </row>
    <row r="2" spans="1:48" s="88" customFormat="1" ht="26.25" customHeight="1">
      <c r="A2" s="502" t="s">
        <v>1216</v>
      </c>
      <c r="B2" s="502"/>
      <c r="C2" s="503" t="s">
        <v>521</v>
      </c>
      <c r="D2" s="503"/>
      <c r="E2" s="503"/>
      <c r="F2" s="503"/>
      <c r="G2" s="503"/>
      <c r="H2" s="503"/>
      <c r="I2" s="503"/>
      <c r="J2" s="503"/>
      <c r="K2" s="503"/>
      <c r="L2" s="503"/>
      <c r="M2" s="503"/>
    </row>
    <row r="3" spans="1:48" s="88" customFormat="1" ht="16.5" customHeight="1">
      <c r="A3" s="496" t="s">
        <v>1217</v>
      </c>
      <c r="B3" s="496"/>
      <c r="C3" s="493" t="s">
        <v>4361</v>
      </c>
      <c r="D3" s="493"/>
      <c r="E3" s="493"/>
      <c r="F3" s="493"/>
      <c r="G3" s="493"/>
      <c r="H3" s="493"/>
      <c r="I3" s="493"/>
      <c r="J3" s="493"/>
      <c r="K3" s="493"/>
      <c r="L3" s="493"/>
      <c r="M3" s="493"/>
    </row>
    <row r="4" spans="1:48" s="88" customFormat="1" ht="16.5" customHeight="1">
      <c r="A4" s="496" t="s">
        <v>5786</v>
      </c>
      <c r="B4" s="496"/>
      <c r="C4" s="497" t="s">
        <v>521</v>
      </c>
      <c r="D4" s="497"/>
      <c r="E4" s="497"/>
      <c r="F4" s="497"/>
      <c r="G4" s="497"/>
      <c r="H4" s="497"/>
      <c r="I4" s="497"/>
      <c r="J4" s="497"/>
      <c r="K4" s="497"/>
      <c r="L4" s="497"/>
      <c r="M4" s="497"/>
    </row>
    <row r="5" spans="1:48" s="88" customFormat="1" ht="16.5" customHeight="1">
      <c r="A5" s="496" t="s">
        <v>1220</v>
      </c>
      <c r="B5" s="496"/>
      <c r="C5" s="493" t="s">
        <v>4362</v>
      </c>
      <c r="D5" s="493"/>
      <c r="E5" s="493"/>
      <c r="F5" s="493"/>
      <c r="G5" s="493"/>
      <c r="H5" s="493"/>
      <c r="I5" s="493"/>
      <c r="J5" s="493"/>
      <c r="K5" s="493"/>
      <c r="L5" s="493"/>
      <c r="M5" s="493"/>
    </row>
    <row r="6" spans="1:48" s="88" customFormat="1" ht="16.5" customHeight="1">
      <c r="A6" s="496" t="s">
        <v>5785</v>
      </c>
      <c r="B6" s="496"/>
      <c r="C6" s="493" t="s">
        <v>4363</v>
      </c>
      <c r="D6" s="493"/>
      <c r="E6" s="493"/>
      <c r="F6" s="493"/>
      <c r="G6" s="493"/>
      <c r="H6" s="493"/>
      <c r="I6" s="493"/>
      <c r="J6" s="493"/>
      <c r="K6" s="493"/>
      <c r="L6" s="493"/>
      <c r="M6" s="493"/>
    </row>
    <row r="7" spans="1:48" s="88" customFormat="1" ht="16.5" customHeight="1">
      <c r="A7" s="89" t="s">
        <v>1223</v>
      </c>
      <c r="B7" s="92" t="s">
        <v>2568</v>
      </c>
      <c r="C7" s="493" t="s">
        <v>4364</v>
      </c>
      <c r="D7" s="493"/>
      <c r="E7" s="493"/>
      <c r="F7" s="493"/>
      <c r="G7" s="493"/>
      <c r="H7" s="493"/>
      <c r="I7" s="493"/>
      <c r="J7" s="493"/>
      <c r="K7" s="493"/>
      <c r="L7" s="493"/>
      <c r="M7" s="493"/>
    </row>
    <row r="8" spans="1:48" s="88" customFormat="1" ht="16.5" customHeight="1">
      <c r="A8" s="89"/>
      <c r="B8" s="92" t="s">
        <v>4365</v>
      </c>
      <c r="C8" s="493" t="s">
        <v>4366</v>
      </c>
      <c r="D8" s="493"/>
      <c r="E8" s="493"/>
      <c r="F8" s="493"/>
      <c r="G8" s="493"/>
      <c r="H8" s="493"/>
      <c r="I8" s="493"/>
      <c r="J8" s="493"/>
      <c r="K8" s="493"/>
      <c r="L8" s="493"/>
      <c r="M8" s="493"/>
    </row>
    <row r="9" spans="1:48" s="88" customFormat="1" ht="16.5" customHeight="1">
      <c r="A9" s="89"/>
      <c r="B9" s="90" t="s">
        <v>4367</v>
      </c>
      <c r="C9" s="493" t="s">
        <v>4368</v>
      </c>
      <c r="D9" s="493"/>
      <c r="E9" s="493"/>
      <c r="F9" s="493"/>
      <c r="G9" s="493"/>
      <c r="H9" s="493"/>
      <c r="I9" s="493"/>
      <c r="J9" s="493"/>
      <c r="K9" s="493"/>
      <c r="L9" s="493"/>
      <c r="M9" s="493"/>
    </row>
    <row r="10" spans="1:48" s="88" customFormat="1" ht="16.5" customHeight="1">
      <c r="A10" s="89" t="s">
        <v>1228</v>
      </c>
      <c r="B10" s="493" t="s">
        <v>4369</v>
      </c>
      <c r="C10" s="493"/>
      <c r="D10" s="493"/>
      <c r="E10" s="493"/>
      <c r="F10" s="493"/>
      <c r="G10" s="493"/>
      <c r="H10" s="493"/>
      <c r="I10" s="493"/>
      <c r="J10" s="493"/>
      <c r="K10" s="493"/>
      <c r="L10" s="493"/>
      <c r="M10" s="493"/>
    </row>
    <row r="11" spans="1:48" ht="16.5" customHeight="1">
      <c r="A11" s="89" t="s">
        <v>1229</v>
      </c>
      <c r="B11" s="493" t="s">
        <v>4370</v>
      </c>
      <c r="C11" s="493"/>
      <c r="D11" s="493"/>
      <c r="E11" s="493"/>
      <c r="F11" s="493"/>
      <c r="G11" s="493"/>
      <c r="H11" s="493"/>
      <c r="I11" s="493"/>
      <c r="J11" s="493"/>
      <c r="K11" s="493"/>
      <c r="L11" s="493"/>
      <c r="M11" s="49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c r="E14" s="93" t="s">
        <v>3592</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E16" s="93" t="s">
        <v>3592</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t="s">
        <v>4371</v>
      </c>
      <c r="C17" s="175"/>
      <c r="H17" s="104" t="s">
        <v>1238</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5" t="s">
        <v>1246</v>
      </c>
      <c r="C18" s="97" t="s">
        <v>4372</v>
      </c>
      <c r="D18" s="93" t="s">
        <v>4373</v>
      </c>
      <c r="F18" s="93" t="s">
        <v>4231</v>
      </c>
      <c r="G18" s="176">
        <f>ZTEST(C20:C27,D19,D21)</f>
        <v>9.4558067010552027E-2</v>
      </c>
      <c r="H18" s="108" t="s">
        <v>4374</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11" t="s">
        <v>1375</v>
      </c>
      <c r="C19" s="101"/>
      <c r="D19" s="93">
        <v>100</v>
      </c>
      <c r="F19" s="93" t="s">
        <v>4241</v>
      </c>
      <c r="G19" s="93">
        <f>ZTEST(C20:C27,D19,D21)*2</f>
        <v>0.18911613402110405</v>
      </c>
      <c r="H19" s="108" t="s">
        <v>4375</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111" t="s">
        <v>1845</v>
      </c>
      <c r="C20" s="177">
        <v>100.1</v>
      </c>
      <c r="D20" s="93" t="s">
        <v>3863</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11" t="s">
        <v>1847</v>
      </c>
      <c r="C21" s="101">
        <v>100.2</v>
      </c>
      <c r="D21" s="93">
        <v>0.35</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111" t="s">
        <v>1848</v>
      </c>
      <c r="C22" s="101">
        <v>99.8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111" t="s">
        <v>1849</v>
      </c>
      <c r="C23" s="101">
        <v>99.7</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11" t="s">
        <v>1850</v>
      </c>
      <c r="C24" s="101">
        <v>100</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111" t="s">
        <v>1851</v>
      </c>
      <c r="C25" s="101">
        <v>100.5</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111" t="s">
        <v>3597</v>
      </c>
      <c r="C26" s="101">
        <v>100.4</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111" t="s">
        <v>3598</v>
      </c>
      <c r="C27" s="101">
        <v>100.6</v>
      </c>
      <c r="D27" s="93" t="s">
        <v>4376</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51" t="s">
        <v>1375</v>
      </c>
      <c r="C28" s="107"/>
      <c r="D28" s="93">
        <v>100.2</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C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4"/>
      <c r="C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875</v>
      </c>
      <c r="B100" s="498"/>
      <c r="C100" s="499"/>
      <c r="D100" s="87"/>
      <c r="E100" s="500" t="str">
        <f>HYPERLINK("#目录!A328","跳转回到目录页")</f>
        <v>跳转回到目录页</v>
      </c>
      <c r="F100" s="501"/>
    </row>
    <row r="101" spans="1:13" s="88" customFormat="1" ht="26.25" customHeight="1">
      <c r="A101" s="502" t="s">
        <v>1216</v>
      </c>
      <c r="B101" s="502"/>
      <c r="C101" s="503" t="s">
        <v>530</v>
      </c>
      <c r="D101" s="503"/>
      <c r="E101" s="503"/>
      <c r="F101" s="503"/>
      <c r="G101" s="503"/>
      <c r="H101" s="503"/>
      <c r="I101" s="503"/>
      <c r="J101" s="503"/>
      <c r="K101" s="503"/>
      <c r="L101" s="503"/>
      <c r="M101" s="503"/>
    </row>
    <row r="102" spans="1:13" s="88" customFormat="1" ht="16.5" customHeight="1">
      <c r="A102" s="496" t="s">
        <v>1217</v>
      </c>
      <c r="B102" s="496"/>
      <c r="C102" s="493" t="s">
        <v>4377</v>
      </c>
      <c r="D102" s="493"/>
      <c r="E102" s="493"/>
      <c r="F102" s="493"/>
      <c r="G102" s="493"/>
      <c r="H102" s="493"/>
      <c r="I102" s="493"/>
      <c r="J102" s="493"/>
      <c r="K102" s="493"/>
      <c r="L102" s="493"/>
      <c r="M102" s="493"/>
    </row>
    <row r="103" spans="1:13" s="88" customFormat="1" ht="16.5" customHeight="1">
      <c r="A103" s="496" t="s">
        <v>5786</v>
      </c>
      <c r="B103" s="496"/>
      <c r="C103" s="497" t="s">
        <v>530</v>
      </c>
      <c r="D103" s="497"/>
      <c r="E103" s="497"/>
      <c r="F103" s="497"/>
      <c r="G103" s="497"/>
      <c r="H103" s="497"/>
      <c r="I103" s="497"/>
      <c r="J103" s="497"/>
      <c r="K103" s="497"/>
      <c r="L103" s="497"/>
      <c r="M103" s="497"/>
    </row>
    <row r="104" spans="1:13" s="88" customFormat="1" ht="16.5" customHeight="1">
      <c r="A104" s="496" t="s">
        <v>1220</v>
      </c>
      <c r="B104" s="496"/>
      <c r="C104" s="493" t="s">
        <v>4378</v>
      </c>
      <c r="D104" s="493"/>
      <c r="E104" s="493"/>
      <c r="F104" s="493"/>
      <c r="G104" s="493"/>
      <c r="H104" s="493"/>
      <c r="I104" s="493"/>
      <c r="J104" s="493"/>
      <c r="K104" s="493"/>
      <c r="L104" s="493"/>
      <c r="M104" s="493"/>
    </row>
    <row r="105" spans="1:13" s="88" customFormat="1" ht="16.5" customHeight="1">
      <c r="A105" s="496" t="s">
        <v>5785</v>
      </c>
      <c r="B105" s="496"/>
      <c r="C105" s="493" t="s">
        <v>4379</v>
      </c>
      <c r="D105" s="493"/>
      <c r="E105" s="493"/>
      <c r="F105" s="493"/>
      <c r="G105" s="493"/>
      <c r="H105" s="493"/>
      <c r="I105" s="493"/>
      <c r="J105" s="493"/>
      <c r="K105" s="493"/>
      <c r="L105" s="493"/>
      <c r="M105" s="493"/>
    </row>
    <row r="106" spans="1:13" s="88" customFormat="1" ht="16.5" customHeight="1">
      <c r="A106" s="89" t="s">
        <v>1223</v>
      </c>
      <c r="B106" s="92" t="s">
        <v>2418</v>
      </c>
      <c r="C106" s="493" t="s">
        <v>4380</v>
      </c>
      <c r="D106" s="493"/>
      <c r="E106" s="493"/>
      <c r="F106" s="493"/>
      <c r="G106" s="493"/>
      <c r="H106" s="493"/>
      <c r="I106" s="493"/>
      <c r="J106" s="493"/>
      <c r="K106" s="493"/>
      <c r="L106" s="493"/>
      <c r="M106" s="493"/>
    </row>
    <row r="107" spans="1:13" s="88" customFormat="1" ht="16.5" customHeight="1">
      <c r="A107" s="89"/>
      <c r="B107" s="92" t="s">
        <v>4381</v>
      </c>
      <c r="C107" s="493" t="s">
        <v>4176</v>
      </c>
      <c r="D107" s="493"/>
      <c r="E107" s="493"/>
      <c r="F107" s="493"/>
      <c r="G107" s="493"/>
      <c r="H107" s="493"/>
      <c r="I107" s="493"/>
      <c r="J107" s="493"/>
      <c r="K107" s="493"/>
      <c r="L107" s="493"/>
      <c r="M107" s="493"/>
    </row>
    <row r="108" spans="1:13" s="88" customFormat="1" ht="16.5" customHeight="1">
      <c r="A108" s="89"/>
      <c r="B108" s="90" t="s">
        <v>4082</v>
      </c>
      <c r="C108" s="493" t="s">
        <v>4382</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38.25" customHeight="1">
      <c r="A110" s="89" t="s">
        <v>1229</v>
      </c>
      <c r="B110" s="493" t="s">
        <v>4383</v>
      </c>
      <c r="C110" s="493"/>
      <c r="D110" s="493"/>
      <c r="E110" s="493"/>
      <c r="F110" s="493"/>
      <c r="G110" s="493"/>
      <c r="H110" s="493"/>
      <c r="I110" s="493"/>
      <c r="J110" s="493"/>
      <c r="K110" s="493"/>
      <c r="L110" s="493"/>
      <c r="M110" s="493"/>
    </row>
    <row r="111" spans="1:13" ht="21" customHeight="1">
      <c r="B111" s="494" t="s">
        <v>2863</v>
      </c>
      <c r="C111" s="494"/>
      <c r="D111" s="494"/>
      <c r="E111" s="494"/>
      <c r="F111" s="494"/>
      <c r="G111" s="494"/>
      <c r="H111" s="494"/>
      <c r="I111" s="494"/>
      <c r="J111" s="494"/>
      <c r="K111" s="494"/>
      <c r="L111" s="495"/>
    </row>
    <row r="112" spans="1:13" s="93" customFormat="1" ht="16.5" customHeight="1"/>
    <row r="113" spans="1:10" s="93" customFormat="1" ht="16.5" customHeight="1">
      <c r="A113" s="94" t="s">
        <v>1232</v>
      </c>
      <c r="B113" s="93" t="s">
        <v>1773</v>
      </c>
    </row>
    <row r="114" spans="1:10" ht="16.5" customHeight="1"/>
    <row r="115" spans="1:10" ht="16.5" customHeight="1"/>
    <row r="116" spans="1:10" ht="16.5" customHeight="1">
      <c r="B116" s="93" t="s">
        <v>4384</v>
      </c>
      <c r="C116" s="93"/>
      <c r="D116" s="93"/>
      <c r="E116" s="93"/>
      <c r="F116" s="93"/>
      <c r="G116" s="93"/>
      <c r="H116" s="93"/>
      <c r="I116" s="93"/>
      <c r="J116" s="93"/>
    </row>
    <row r="117" spans="1:10" ht="16.5" customHeight="1">
      <c r="B117" s="565" t="s">
        <v>4385</v>
      </c>
      <c r="C117" s="565"/>
      <c r="D117" s="565"/>
      <c r="E117" s="93"/>
      <c r="F117" s="93"/>
      <c r="G117" s="93"/>
      <c r="H117" s="93"/>
      <c r="I117" s="93"/>
      <c r="J117" s="93"/>
    </row>
    <row r="118" spans="1:10" ht="16.5" customHeight="1">
      <c r="B118" s="95" t="s">
        <v>3689</v>
      </c>
      <c r="C118" s="96" t="s">
        <v>4386</v>
      </c>
      <c r="D118" s="97" t="s">
        <v>4159</v>
      </c>
      <c r="E118" s="104" t="s">
        <v>1238</v>
      </c>
      <c r="F118" s="93"/>
      <c r="G118" s="93"/>
      <c r="H118" s="93"/>
      <c r="I118" s="93"/>
      <c r="J118" s="93"/>
    </row>
    <row r="119" spans="1:10" ht="16.5" customHeight="1">
      <c r="B119" s="105">
        <v>5</v>
      </c>
      <c r="C119" s="113">
        <v>0.2</v>
      </c>
      <c r="D119" s="107">
        <f>EXPONDIST(B119,C119,1)</f>
        <v>0.63212055882855767</v>
      </c>
      <c r="E119" s="108" t="s">
        <v>4387</v>
      </c>
      <c r="F119" s="93"/>
      <c r="G119" s="93"/>
      <c r="H119" s="93"/>
      <c r="I119" s="93"/>
      <c r="J119" s="93"/>
    </row>
    <row r="120" spans="1:10" ht="16.5" customHeight="1">
      <c r="B120" s="93"/>
      <c r="C120" s="93"/>
      <c r="D120" s="93"/>
      <c r="E120" s="93"/>
      <c r="F120" s="93"/>
      <c r="G120" s="93"/>
      <c r="H120" s="93"/>
      <c r="I120" s="93"/>
      <c r="J120" s="93"/>
    </row>
    <row r="121" spans="1:10" ht="16.5" customHeight="1">
      <c r="B121" s="93"/>
      <c r="C121" s="93"/>
      <c r="D121" s="93"/>
      <c r="E121" s="93"/>
      <c r="F121" s="93"/>
      <c r="G121" s="93"/>
      <c r="H121" s="93"/>
      <c r="I121" s="93"/>
      <c r="J121" s="93"/>
    </row>
    <row r="122" spans="1:10" ht="16.5" customHeight="1">
      <c r="B122" s="93"/>
      <c r="C122" s="93"/>
      <c r="D122" s="93"/>
      <c r="E122" s="93"/>
      <c r="F122" s="93"/>
      <c r="G122" s="93"/>
      <c r="H122" s="93"/>
      <c r="I122" s="93"/>
      <c r="J122" s="93"/>
    </row>
    <row r="123" spans="1:10">
      <c r="B123" s="93"/>
      <c r="C123" s="93"/>
      <c r="D123" s="93"/>
      <c r="E123" s="93"/>
      <c r="F123" s="93"/>
      <c r="G123" s="93"/>
      <c r="H123" s="93"/>
      <c r="I123" s="93"/>
      <c r="J123" s="93"/>
    </row>
    <row r="200" spans="1:13" s="88" customFormat="1" ht="26.25" customHeight="1">
      <c r="A200" s="498" t="s">
        <v>1192</v>
      </c>
      <c r="B200" s="498"/>
      <c r="C200" s="499"/>
      <c r="D200" s="87"/>
      <c r="E200" s="500" t="str">
        <f>HYPERLINK("#目录!A337","跳转回到目录页")</f>
        <v>跳转回到目录页</v>
      </c>
      <c r="F200" s="501"/>
    </row>
    <row r="201" spans="1:13" s="88" customFormat="1" ht="26.25" customHeight="1">
      <c r="A201" s="502" t="s">
        <v>1216</v>
      </c>
      <c r="B201" s="502"/>
      <c r="C201" s="503" t="s">
        <v>541</v>
      </c>
      <c r="D201" s="503"/>
      <c r="E201" s="503"/>
      <c r="F201" s="503"/>
      <c r="G201" s="503"/>
      <c r="H201" s="503"/>
      <c r="I201" s="503"/>
      <c r="J201" s="503"/>
      <c r="K201" s="503"/>
      <c r="L201" s="503"/>
      <c r="M201" s="503"/>
    </row>
    <row r="202" spans="1:13" s="88" customFormat="1" ht="16.5" customHeight="1">
      <c r="A202" s="496" t="s">
        <v>1217</v>
      </c>
      <c r="B202" s="496"/>
      <c r="C202" s="493" t="s">
        <v>4388</v>
      </c>
      <c r="D202" s="493"/>
      <c r="E202" s="493"/>
      <c r="F202" s="493"/>
      <c r="G202" s="493"/>
      <c r="H202" s="493"/>
      <c r="I202" s="493"/>
      <c r="J202" s="493"/>
      <c r="K202" s="493"/>
      <c r="L202" s="493"/>
      <c r="M202" s="493"/>
    </row>
    <row r="203" spans="1:13" s="88" customFormat="1" ht="16.5" customHeight="1">
      <c r="A203" s="496" t="s">
        <v>5786</v>
      </c>
      <c r="B203" s="496"/>
      <c r="C203" s="497" t="s">
        <v>541</v>
      </c>
      <c r="D203" s="497"/>
      <c r="E203" s="497"/>
      <c r="F203" s="497"/>
      <c r="G203" s="497"/>
      <c r="H203" s="497"/>
      <c r="I203" s="497"/>
      <c r="J203" s="497"/>
      <c r="K203" s="497"/>
      <c r="L203" s="497"/>
      <c r="M203" s="497"/>
    </row>
    <row r="204" spans="1:13" s="88" customFormat="1" ht="16.5" customHeight="1">
      <c r="A204" s="496" t="s">
        <v>1220</v>
      </c>
      <c r="B204" s="496"/>
      <c r="C204" s="493" t="s">
        <v>4389</v>
      </c>
      <c r="D204" s="493"/>
      <c r="E204" s="493"/>
      <c r="F204" s="493"/>
      <c r="G204" s="493"/>
      <c r="H204" s="493"/>
      <c r="I204" s="493"/>
      <c r="J204" s="493"/>
      <c r="K204" s="493"/>
      <c r="L204" s="493"/>
      <c r="M204" s="493"/>
    </row>
    <row r="205" spans="1:13" s="88" customFormat="1" ht="16.5" customHeight="1">
      <c r="A205" s="496" t="s">
        <v>5785</v>
      </c>
      <c r="B205" s="496"/>
      <c r="C205" s="493" t="s">
        <v>4390</v>
      </c>
      <c r="D205" s="493"/>
      <c r="E205" s="493"/>
      <c r="F205" s="493"/>
      <c r="G205" s="493"/>
      <c r="H205" s="493"/>
      <c r="I205" s="493"/>
      <c r="J205" s="493"/>
      <c r="K205" s="493"/>
      <c r="L205" s="493"/>
      <c r="M205" s="493"/>
    </row>
    <row r="206" spans="1:13" s="88" customFormat="1" ht="16.5" customHeight="1">
      <c r="A206" s="89" t="s">
        <v>1223</v>
      </c>
      <c r="B206" s="92" t="s">
        <v>2418</v>
      </c>
      <c r="C206" s="493" t="s">
        <v>4176</v>
      </c>
      <c r="D206" s="493"/>
      <c r="E206" s="493"/>
      <c r="F206" s="493"/>
      <c r="G206" s="493"/>
      <c r="H206" s="493"/>
      <c r="I206" s="493"/>
      <c r="J206" s="493"/>
      <c r="K206" s="493"/>
      <c r="L206" s="493"/>
      <c r="M206" s="493"/>
    </row>
    <row r="207" spans="1:13" s="88" customFormat="1" ht="16.5" customHeight="1">
      <c r="A207" s="89"/>
      <c r="B207" s="92" t="s">
        <v>4041</v>
      </c>
      <c r="C207" s="493" t="s">
        <v>4310</v>
      </c>
      <c r="D207" s="493"/>
      <c r="E207" s="493"/>
      <c r="F207" s="493"/>
      <c r="G207" s="493"/>
      <c r="H207" s="493"/>
      <c r="I207" s="493"/>
      <c r="J207" s="493"/>
      <c r="K207" s="493"/>
      <c r="L207" s="493"/>
      <c r="M207" s="493"/>
    </row>
    <row r="208" spans="1:13" s="88" customFormat="1" ht="16.5" customHeight="1">
      <c r="A208" s="89"/>
      <c r="B208" s="92" t="s">
        <v>4311</v>
      </c>
      <c r="C208" s="493" t="s">
        <v>4310</v>
      </c>
      <c r="D208" s="493"/>
      <c r="E208" s="493"/>
      <c r="F208" s="493"/>
      <c r="G208" s="493"/>
      <c r="H208" s="493"/>
      <c r="I208" s="493"/>
      <c r="J208" s="493"/>
      <c r="K208" s="493"/>
      <c r="L208" s="493"/>
      <c r="M208" s="493"/>
    </row>
    <row r="209" spans="1:13" s="88" customFormat="1" ht="16.5" customHeight="1">
      <c r="A209" s="89"/>
      <c r="B209" s="90" t="s">
        <v>4082</v>
      </c>
      <c r="C209" s="493" t="s">
        <v>4391</v>
      </c>
      <c r="D209" s="493"/>
      <c r="E209" s="493"/>
      <c r="F209" s="493"/>
      <c r="G209" s="493"/>
      <c r="H209" s="493"/>
      <c r="I209" s="493"/>
      <c r="J209" s="493"/>
      <c r="K209" s="493"/>
      <c r="L209" s="493"/>
      <c r="M209" s="493"/>
    </row>
    <row r="210" spans="1:13" s="88" customFormat="1" ht="16.5" customHeight="1">
      <c r="A210" s="89" t="s">
        <v>1228</v>
      </c>
      <c r="B210" s="493"/>
      <c r="C210" s="493"/>
      <c r="D210" s="493"/>
      <c r="E210" s="493"/>
      <c r="F210" s="493"/>
      <c r="G210" s="493"/>
      <c r="H210" s="493"/>
      <c r="I210" s="493"/>
      <c r="J210" s="493"/>
      <c r="K210" s="493"/>
      <c r="L210" s="493"/>
      <c r="M210" s="493"/>
    </row>
    <row r="211" spans="1:13" ht="38.25" customHeight="1">
      <c r="A211" s="89" t="s">
        <v>1229</v>
      </c>
      <c r="B211" s="493" t="s">
        <v>4392</v>
      </c>
      <c r="C211" s="493"/>
      <c r="D211" s="493"/>
      <c r="E211" s="493"/>
      <c r="F211" s="493"/>
      <c r="G211" s="493"/>
      <c r="H211" s="493"/>
      <c r="I211" s="493"/>
      <c r="J211" s="493"/>
      <c r="K211" s="493"/>
      <c r="L211" s="493"/>
      <c r="M211" s="493"/>
    </row>
    <row r="212" spans="1:13" ht="21" customHeight="1">
      <c r="B212" s="494" t="s">
        <v>2863</v>
      </c>
      <c r="C212" s="494"/>
      <c r="D212" s="494"/>
      <c r="E212" s="494"/>
      <c r="F212" s="494"/>
      <c r="G212" s="494"/>
      <c r="H212" s="494"/>
      <c r="I212" s="494"/>
      <c r="J212" s="494"/>
      <c r="K212" s="494"/>
      <c r="L212" s="495"/>
    </row>
    <row r="213" spans="1:13" s="93" customFormat="1" ht="16.5" customHeight="1"/>
    <row r="214" spans="1:13" s="93" customFormat="1" ht="16.5" customHeight="1">
      <c r="A214" s="94" t="s">
        <v>1232</v>
      </c>
      <c r="B214" s="93" t="s">
        <v>1773</v>
      </c>
    </row>
    <row r="215" spans="1:13" ht="16.5" customHeight="1"/>
    <row r="216" spans="1:13" ht="16.5" customHeight="1"/>
    <row r="217" spans="1:13" ht="16.5" customHeight="1">
      <c r="B217" s="518" t="s">
        <v>4393</v>
      </c>
      <c r="C217" s="518"/>
      <c r="D217" s="518"/>
      <c r="E217" s="518"/>
      <c r="F217" s="93"/>
      <c r="G217" s="93"/>
      <c r="H217" s="93"/>
      <c r="I217" s="93"/>
    </row>
    <row r="218" spans="1:13" ht="16.5" customHeight="1">
      <c r="B218" s="95" t="s">
        <v>4394</v>
      </c>
      <c r="C218" s="96" t="s">
        <v>4318</v>
      </c>
      <c r="D218" s="96" t="s">
        <v>4319</v>
      </c>
      <c r="E218" s="97" t="s">
        <v>4159</v>
      </c>
      <c r="F218" s="104" t="s">
        <v>1238</v>
      </c>
      <c r="G218" s="93"/>
      <c r="H218" s="93"/>
      <c r="I218" s="93"/>
    </row>
    <row r="219" spans="1:13" ht="16.5" customHeight="1">
      <c r="B219" s="105">
        <v>3</v>
      </c>
      <c r="C219" s="113">
        <v>2</v>
      </c>
      <c r="D219" s="113">
        <v>3</v>
      </c>
      <c r="E219" s="107">
        <f>WEIBULL(B219,C219,D219,1)</f>
        <v>0.63212055882855767</v>
      </c>
      <c r="F219" s="108" t="s">
        <v>4395</v>
      </c>
      <c r="G219" s="93"/>
      <c r="H219" s="93"/>
      <c r="I219" s="93"/>
    </row>
  </sheetData>
  <mergeCells count="57">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A103:B103"/>
    <mergeCell ref="C103:M103"/>
    <mergeCell ref="A104:B104"/>
    <mergeCell ref="C104:M104"/>
    <mergeCell ref="A105:B105"/>
    <mergeCell ref="C105:M105"/>
    <mergeCell ref="A202:B202"/>
    <mergeCell ref="C202:M202"/>
    <mergeCell ref="C106:M106"/>
    <mergeCell ref="C107:M107"/>
    <mergeCell ref="C108:M108"/>
    <mergeCell ref="B109:M109"/>
    <mergeCell ref="B110:M110"/>
    <mergeCell ref="B111:L111"/>
    <mergeCell ref="B117:D117"/>
    <mergeCell ref="A200:C200"/>
    <mergeCell ref="E200:F200"/>
    <mergeCell ref="A201:B201"/>
    <mergeCell ref="C201:M201"/>
    <mergeCell ref="A203:B203"/>
    <mergeCell ref="C203:M203"/>
    <mergeCell ref="A204:B204"/>
    <mergeCell ref="C204:M204"/>
    <mergeCell ref="A205:B205"/>
    <mergeCell ref="C205:M205"/>
    <mergeCell ref="B212:L212"/>
    <mergeCell ref="B217:E217"/>
    <mergeCell ref="C206:M206"/>
    <mergeCell ref="C207:M207"/>
    <mergeCell ref="C208:M208"/>
    <mergeCell ref="C209:M209"/>
    <mergeCell ref="B210:M210"/>
    <mergeCell ref="B211:M211"/>
  </mergeCells>
  <phoneticPr fontId="2" type="noConversion"/>
  <pageMargins left="0.75" right="0.75" top="1" bottom="1" header="0.5" footer="0.5"/>
  <headerFooter scaleWithDoc="0"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9"/>
  <dimension ref="A1:AV621"/>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1074</v>
      </c>
      <c r="B1" s="498"/>
      <c r="C1" s="499"/>
      <c r="D1" s="87"/>
      <c r="E1" s="500" t="str">
        <f>HYPERLINK("#目录!A340","跳转回到目录页")</f>
        <v>跳转回到目录页</v>
      </c>
      <c r="F1" s="501"/>
    </row>
    <row r="2" spans="1:13" s="88" customFormat="1" ht="26.25" customHeight="1">
      <c r="A2" s="502" t="s">
        <v>1216</v>
      </c>
      <c r="B2" s="502"/>
      <c r="C2" s="503" t="s">
        <v>544</v>
      </c>
      <c r="D2" s="503"/>
      <c r="E2" s="503"/>
      <c r="F2" s="503"/>
      <c r="G2" s="503"/>
      <c r="H2" s="503"/>
      <c r="I2" s="503"/>
      <c r="J2" s="503"/>
      <c r="K2" s="503"/>
      <c r="L2" s="503"/>
      <c r="M2" s="503"/>
    </row>
    <row r="3" spans="1:13" s="88" customFormat="1" ht="16.5" customHeight="1">
      <c r="A3" s="496" t="s">
        <v>1217</v>
      </c>
      <c r="B3" s="496"/>
      <c r="C3" s="493" t="s">
        <v>4396</v>
      </c>
      <c r="D3" s="493"/>
      <c r="E3" s="493"/>
      <c r="F3" s="493"/>
      <c r="G3" s="493"/>
      <c r="H3" s="493"/>
      <c r="I3" s="493"/>
      <c r="J3" s="493"/>
      <c r="K3" s="493"/>
      <c r="L3" s="493"/>
      <c r="M3" s="493"/>
    </row>
    <row r="4" spans="1:13" s="88" customFormat="1" ht="16.5" customHeight="1">
      <c r="A4" s="496" t="s">
        <v>5786</v>
      </c>
      <c r="B4" s="496"/>
      <c r="C4" s="497" t="s">
        <v>5808</v>
      </c>
      <c r="D4" s="497"/>
      <c r="E4" s="497"/>
      <c r="F4" s="497"/>
      <c r="G4" s="497"/>
      <c r="H4" s="497"/>
      <c r="I4" s="497"/>
      <c r="J4" s="497"/>
      <c r="K4" s="497"/>
      <c r="L4" s="497"/>
      <c r="M4" s="497"/>
    </row>
    <row r="5" spans="1:13" s="88" customFormat="1" ht="16.5" customHeight="1">
      <c r="A5" s="496" t="s">
        <v>1220</v>
      </c>
      <c r="B5" s="496"/>
      <c r="C5" s="493" t="s">
        <v>4397</v>
      </c>
      <c r="D5" s="493"/>
      <c r="E5" s="493"/>
      <c r="F5" s="493"/>
      <c r="G5" s="493"/>
      <c r="H5" s="493"/>
      <c r="I5" s="493"/>
      <c r="J5" s="493"/>
      <c r="K5" s="493"/>
      <c r="L5" s="493"/>
      <c r="M5" s="493"/>
    </row>
    <row r="6" spans="1:13" s="88" customFormat="1" ht="16.5" customHeight="1">
      <c r="A6" s="496" t="s">
        <v>5785</v>
      </c>
      <c r="B6" s="496"/>
      <c r="C6" s="493" t="s">
        <v>4398</v>
      </c>
      <c r="D6" s="493"/>
      <c r="E6" s="493"/>
      <c r="F6" s="493"/>
      <c r="G6" s="493"/>
      <c r="H6" s="493"/>
      <c r="I6" s="493"/>
      <c r="J6" s="493"/>
      <c r="K6" s="493"/>
      <c r="L6" s="493"/>
      <c r="M6" s="493"/>
    </row>
    <row r="7" spans="1:13" s="88" customFormat="1" ht="16.5" customHeight="1">
      <c r="A7" s="89" t="s">
        <v>1223</v>
      </c>
      <c r="B7" s="92" t="s">
        <v>4399</v>
      </c>
      <c r="C7" s="493" t="s">
        <v>4400</v>
      </c>
      <c r="D7" s="493"/>
      <c r="E7" s="493"/>
      <c r="F7" s="493"/>
      <c r="G7" s="493"/>
      <c r="H7" s="493"/>
      <c r="I7" s="493"/>
      <c r="J7" s="493"/>
      <c r="K7" s="493"/>
      <c r="L7" s="493"/>
      <c r="M7" s="493"/>
    </row>
    <row r="8" spans="1:13" s="88" customFormat="1" ht="16.5" customHeight="1">
      <c r="A8" s="89"/>
      <c r="B8" s="92" t="s">
        <v>4401</v>
      </c>
      <c r="C8" s="493" t="s">
        <v>4402</v>
      </c>
      <c r="D8" s="493"/>
      <c r="E8" s="493"/>
      <c r="F8" s="493"/>
      <c r="G8" s="493"/>
      <c r="H8" s="493"/>
      <c r="I8" s="493"/>
      <c r="J8" s="493"/>
      <c r="K8" s="493"/>
      <c r="L8" s="493"/>
      <c r="M8" s="493"/>
    </row>
    <row r="9" spans="1:13" s="88" customFormat="1" ht="16.5" customHeight="1">
      <c r="A9" s="89"/>
      <c r="B9" s="90" t="s">
        <v>4403</v>
      </c>
      <c r="C9" s="493" t="s">
        <v>4404</v>
      </c>
      <c r="D9" s="493"/>
      <c r="E9" s="493"/>
      <c r="F9" s="493"/>
      <c r="G9" s="493"/>
      <c r="H9" s="493"/>
      <c r="I9" s="493"/>
      <c r="J9" s="493"/>
      <c r="K9" s="493"/>
      <c r="L9" s="493"/>
      <c r="M9" s="493"/>
    </row>
    <row r="10" spans="1:13" s="88" customFormat="1" ht="16.5" customHeight="1">
      <c r="A10" s="89"/>
      <c r="B10" s="92" t="s">
        <v>4405</v>
      </c>
      <c r="C10" s="493" t="s">
        <v>4406</v>
      </c>
      <c r="D10" s="493"/>
      <c r="E10" s="493"/>
      <c r="F10" s="493"/>
      <c r="G10" s="493"/>
      <c r="H10" s="493"/>
      <c r="I10" s="493"/>
      <c r="J10" s="493"/>
      <c r="K10" s="493"/>
      <c r="L10" s="493"/>
      <c r="M10" s="493"/>
    </row>
    <row r="11" spans="1:13" s="88" customFormat="1" ht="16.5" customHeight="1">
      <c r="A11" s="89"/>
      <c r="B11" s="90" t="s">
        <v>4250</v>
      </c>
      <c r="C11" s="493" t="s">
        <v>4407</v>
      </c>
      <c r="D11" s="493"/>
      <c r="E11" s="493"/>
      <c r="F11" s="493"/>
      <c r="G11" s="493"/>
      <c r="H11" s="493"/>
      <c r="I11" s="493"/>
      <c r="J11" s="493"/>
      <c r="K11" s="493"/>
      <c r="L11" s="493"/>
      <c r="M11" s="493"/>
    </row>
    <row r="12" spans="1:13" s="88" customFormat="1" ht="16.5" customHeight="1">
      <c r="A12" s="89" t="s">
        <v>1228</v>
      </c>
      <c r="B12" s="493"/>
      <c r="C12" s="493"/>
      <c r="D12" s="493"/>
      <c r="E12" s="493"/>
      <c r="F12" s="493"/>
      <c r="G12" s="493"/>
      <c r="H12" s="493"/>
      <c r="I12" s="493"/>
      <c r="J12" s="493"/>
      <c r="K12" s="493"/>
      <c r="L12" s="493"/>
      <c r="M12" s="493"/>
    </row>
    <row r="13" spans="1:13" ht="38.25" customHeight="1">
      <c r="A13" s="89" t="s">
        <v>1229</v>
      </c>
      <c r="B13" s="673" t="s">
        <v>4408</v>
      </c>
      <c r="C13" s="673"/>
      <c r="D13" s="673"/>
      <c r="E13" s="673"/>
      <c r="F13" s="673"/>
      <c r="G13" s="673"/>
      <c r="H13" s="673"/>
      <c r="I13" s="673"/>
      <c r="J13" s="673"/>
      <c r="K13" s="673"/>
      <c r="L13" s="673"/>
      <c r="M13" s="673"/>
    </row>
    <row r="14" spans="1:13" ht="21" customHeight="1">
      <c r="B14" s="494" t="s">
        <v>2863</v>
      </c>
      <c r="C14" s="494"/>
      <c r="D14" s="494"/>
      <c r="E14" s="494"/>
      <c r="F14" s="494"/>
      <c r="G14" s="494"/>
      <c r="H14" s="494"/>
      <c r="I14" s="494"/>
      <c r="J14" s="494"/>
      <c r="K14" s="494"/>
      <c r="L14" s="495"/>
    </row>
    <row r="15" spans="1:13" s="93" customFormat="1" ht="16.5" customHeight="1"/>
    <row r="16" spans="1:13" s="93" customFormat="1" ht="16.5" customHeight="1">
      <c r="A16" s="94" t="s">
        <v>1232</v>
      </c>
      <c r="B16" s="93" t="s">
        <v>1773</v>
      </c>
      <c r="F16" s="93" t="s">
        <v>3592</v>
      </c>
    </row>
    <row r="17" spans="1:48" s="93" customFormat="1" ht="16.5" customHeight="1">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4" t="s">
        <v>4409</v>
      </c>
      <c r="C18" s="94" t="s">
        <v>4410</v>
      </c>
      <c r="F18" s="93" t="s">
        <v>3592</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t="s">
        <v>4411</v>
      </c>
      <c r="C19" s="93" t="s">
        <v>4412</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v>1</v>
      </c>
      <c r="C20" s="93" t="s">
        <v>4413</v>
      </c>
      <c r="F20" s="93" t="s">
        <v>3592</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518" t="s">
        <v>4414</v>
      </c>
      <c r="C22" s="518"/>
      <c r="D22" s="518"/>
      <c r="E22" s="518"/>
      <c r="F22" s="518"/>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94" t="s">
        <v>4415</v>
      </c>
      <c r="C23" s="94" t="s">
        <v>4416</v>
      </c>
      <c r="D23" s="94" t="s">
        <v>4417</v>
      </c>
      <c r="E23" s="518" t="s">
        <v>4418</v>
      </c>
      <c r="F23" s="518"/>
      <c r="G23" s="104" t="s">
        <v>1238</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160">
        <v>0.05</v>
      </c>
      <c r="C24" s="93">
        <v>5</v>
      </c>
      <c r="D24" s="93">
        <v>1000000</v>
      </c>
      <c r="E24" s="676">
        <f>PMT(B24/12,C24*12,D24,0)</f>
        <v>-18871.233644010932</v>
      </c>
      <c r="F24" s="676"/>
      <c r="G24" s="108" t="s">
        <v>4419</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A25" s="9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A35" s="9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c r="A50" s="93"/>
      <c r="B50" s="93"/>
      <c r="C50" s="93"/>
      <c r="D50" s="93"/>
      <c r="E50" s="93"/>
      <c r="F50" s="93"/>
      <c r="G50" s="93"/>
      <c r="H50" s="93"/>
      <c r="I50" s="93"/>
      <c r="J50" s="93"/>
      <c r="K50" s="93"/>
      <c r="L50" s="93"/>
      <c r="M50" s="93"/>
    </row>
    <row r="100" spans="1:13" s="88" customFormat="1" ht="26.25" customHeight="1">
      <c r="A100" s="498" t="s">
        <v>1078</v>
      </c>
      <c r="B100" s="498"/>
      <c r="C100" s="499"/>
      <c r="D100" s="87"/>
      <c r="E100" s="500" t="str">
        <f>HYPERLINK("#目录!A342","跳转回到目录页")</f>
        <v>跳转回到目录页</v>
      </c>
      <c r="F100" s="501"/>
    </row>
    <row r="101" spans="1:13" s="88" customFormat="1" ht="26.25" customHeight="1">
      <c r="A101" s="502" t="s">
        <v>1216</v>
      </c>
      <c r="B101" s="502"/>
      <c r="C101" s="503" t="s">
        <v>546</v>
      </c>
      <c r="D101" s="503"/>
      <c r="E101" s="503"/>
      <c r="F101" s="503"/>
      <c r="G101" s="503"/>
      <c r="H101" s="503"/>
      <c r="I101" s="503"/>
      <c r="J101" s="503"/>
      <c r="K101" s="503"/>
      <c r="L101" s="503"/>
      <c r="M101" s="503"/>
    </row>
    <row r="102" spans="1:13" s="88" customFormat="1" ht="16.5" customHeight="1">
      <c r="A102" s="496" t="s">
        <v>1217</v>
      </c>
      <c r="B102" s="496"/>
      <c r="C102" s="493" t="s">
        <v>4420</v>
      </c>
      <c r="D102" s="493"/>
      <c r="E102" s="493"/>
      <c r="F102" s="493"/>
      <c r="G102" s="493"/>
      <c r="H102" s="493"/>
      <c r="I102" s="493"/>
      <c r="J102" s="493"/>
      <c r="K102" s="493"/>
      <c r="L102" s="493"/>
      <c r="M102" s="493"/>
    </row>
    <row r="103" spans="1:13" s="88" customFormat="1" ht="16.5" customHeight="1">
      <c r="A103" s="496" t="s">
        <v>5786</v>
      </c>
      <c r="B103" s="496"/>
      <c r="C103" s="497" t="s">
        <v>546</v>
      </c>
      <c r="D103" s="497"/>
      <c r="E103" s="497"/>
      <c r="F103" s="497"/>
      <c r="G103" s="497"/>
      <c r="H103" s="497"/>
      <c r="I103" s="497"/>
      <c r="J103" s="497"/>
      <c r="K103" s="497"/>
      <c r="L103" s="497"/>
      <c r="M103" s="497"/>
    </row>
    <row r="104" spans="1:13" s="88" customFormat="1" ht="16.5" customHeight="1">
      <c r="A104" s="496" t="s">
        <v>1220</v>
      </c>
      <c r="B104" s="496"/>
      <c r="C104" s="493" t="s">
        <v>4421</v>
      </c>
      <c r="D104" s="493"/>
      <c r="E104" s="493"/>
      <c r="F104" s="493"/>
      <c r="G104" s="493"/>
      <c r="H104" s="493"/>
      <c r="I104" s="493"/>
      <c r="J104" s="493"/>
      <c r="K104" s="493"/>
      <c r="L104" s="493"/>
      <c r="M104" s="493"/>
    </row>
    <row r="105" spans="1:13" s="88" customFormat="1" ht="16.5" customHeight="1">
      <c r="A105" s="496" t="s">
        <v>5785</v>
      </c>
      <c r="B105" s="496"/>
      <c r="C105" s="493" t="s">
        <v>4422</v>
      </c>
      <c r="D105" s="493"/>
      <c r="E105" s="493"/>
      <c r="F105" s="493"/>
      <c r="G105" s="493"/>
      <c r="H105" s="493"/>
      <c r="I105" s="493"/>
      <c r="J105" s="493"/>
      <c r="K105" s="493"/>
      <c r="L105" s="493"/>
      <c r="M105" s="493"/>
    </row>
    <row r="106" spans="1:13" s="88" customFormat="1" ht="16.5" customHeight="1">
      <c r="A106" s="89" t="s">
        <v>1223</v>
      </c>
      <c r="B106" s="92" t="s">
        <v>4399</v>
      </c>
      <c r="C106" s="493" t="s">
        <v>4423</v>
      </c>
      <c r="D106" s="493"/>
      <c r="E106" s="493"/>
      <c r="F106" s="493"/>
      <c r="G106" s="493"/>
      <c r="H106" s="493"/>
      <c r="I106" s="493"/>
      <c r="J106" s="493"/>
      <c r="K106" s="493"/>
      <c r="L106" s="493"/>
      <c r="M106" s="493"/>
    </row>
    <row r="107" spans="1:13" s="88" customFormat="1" ht="16.5" customHeight="1">
      <c r="A107" s="89"/>
      <c r="B107" s="92" t="s">
        <v>4424</v>
      </c>
      <c r="C107" s="493" t="s">
        <v>4425</v>
      </c>
      <c r="D107" s="493"/>
      <c r="E107" s="493"/>
      <c r="F107" s="493"/>
      <c r="G107" s="493"/>
      <c r="H107" s="493"/>
      <c r="I107" s="493"/>
      <c r="J107" s="493"/>
      <c r="K107" s="493"/>
      <c r="L107" s="493"/>
      <c r="M107" s="493"/>
    </row>
    <row r="108" spans="1:13" s="88" customFormat="1" ht="16.5" customHeight="1">
      <c r="A108" s="89"/>
      <c r="B108" s="90" t="s">
        <v>4401</v>
      </c>
      <c r="C108" s="493" t="s">
        <v>4426</v>
      </c>
      <c r="D108" s="493"/>
      <c r="E108" s="493"/>
      <c r="F108" s="493"/>
      <c r="G108" s="493"/>
      <c r="H108" s="493"/>
      <c r="I108" s="493"/>
      <c r="J108" s="493"/>
      <c r="K108" s="493"/>
      <c r="L108" s="493"/>
      <c r="M108" s="493"/>
    </row>
    <row r="109" spans="1:13" s="88" customFormat="1" ht="16.5" customHeight="1">
      <c r="A109" s="89"/>
      <c r="B109" s="92" t="s">
        <v>4403</v>
      </c>
      <c r="C109" s="493" t="s">
        <v>4427</v>
      </c>
      <c r="D109" s="493"/>
      <c r="E109" s="493"/>
      <c r="F109" s="493"/>
      <c r="G109" s="493"/>
      <c r="H109" s="493"/>
      <c r="I109" s="493"/>
      <c r="J109" s="493"/>
      <c r="K109" s="493"/>
      <c r="L109" s="493"/>
      <c r="M109" s="493"/>
    </row>
    <row r="110" spans="1:13" s="88" customFormat="1" ht="16.5" customHeight="1">
      <c r="A110" s="89"/>
      <c r="B110" s="90" t="s">
        <v>4405</v>
      </c>
      <c r="C110" s="493" t="s">
        <v>4406</v>
      </c>
      <c r="D110" s="493"/>
      <c r="E110" s="493"/>
      <c r="F110" s="493"/>
      <c r="G110" s="493"/>
      <c r="H110" s="493"/>
      <c r="I110" s="493"/>
      <c r="J110" s="493"/>
      <c r="K110" s="493"/>
      <c r="L110" s="493"/>
      <c r="M110" s="493"/>
    </row>
    <row r="111" spans="1:13" s="88" customFormat="1" ht="16.5" customHeight="1">
      <c r="A111" s="89"/>
      <c r="B111" s="90" t="s">
        <v>4250</v>
      </c>
      <c r="C111" s="493" t="s">
        <v>4407</v>
      </c>
      <c r="D111" s="493"/>
      <c r="E111" s="493"/>
      <c r="F111" s="493"/>
      <c r="G111" s="493"/>
      <c r="H111" s="493"/>
      <c r="I111" s="493"/>
      <c r="J111" s="493"/>
      <c r="K111" s="493"/>
      <c r="L111" s="493"/>
      <c r="M111" s="493"/>
    </row>
    <row r="112" spans="1:13" s="88" customFormat="1" ht="16.5" customHeight="1">
      <c r="A112" s="89" t="s">
        <v>1228</v>
      </c>
      <c r="B112" s="493"/>
      <c r="C112" s="493"/>
      <c r="D112" s="493"/>
      <c r="E112" s="493"/>
      <c r="F112" s="493"/>
      <c r="G112" s="493"/>
      <c r="H112" s="493"/>
      <c r="I112" s="493"/>
      <c r="J112" s="493"/>
      <c r="K112" s="493"/>
      <c r="L112" s="493"/>
      <c r="M112" s="493"/>
    </row>
    <row r="113" spans="1:48" ht="24.75" customHeight="1">
      <c r="A113" s="89" t="s">
        <v>1229</v>
      </c>
      <c r="B113" s="673" t="s">
        <v>4428</v>
      </c>
      <c r="C113" s="673"/>
      <c r="D113" s="673"/>
      <c r="E113" s="673"/>
      <c r="F113" s="673"/>
      <c r="G113" s="673"/>
      <c r="H113" s="673"/>
      <c r="I113" s="673"/>
      <c r="J113" s="673"/>
      <c r="K113" s="673"/>
      <c r="L113" s="673"/>
      <c r="M113" s="673"/>
    </row>
    <row r="114" spans="1:48" ht="21" customHeight="1">
      <c r="B114" s="494" t="s">
        <v>2863</v>
      </c>
      <c r="C114" s="494"/>
      <c r="D114" s="494"/>
      <c r="E114" s="494"/>
      <c r="F114" s="494"/>
      <c r="G114" s="494"/>
      <c r="H114" s="494"/>
      <c r="I114" s="494"/>
      <c r="J114" s="494"/>
      <c r="K114" s="494"/>
      <c r="L114" s="495"/>
    </row>
    <row r="115" spans="1:48" s="93" customFormat="1" ht="16.5" customHeight="1"/>
    <row r="116" spans="1:48" s="93" customFormat="1" ht="16.5" customHeight="1">
      <c r="A116" s="94" t="s">
        <v>1232</v>
      </c>
      <c r="B116" s="93" t="s">
        <v>1773</v>
      </c>
      <c r="F116" s="93" t="s">
        <v>3592</v>
      </c>
    </row>
    <row r="117" spans="1:48" s="93" customFormat="1" ht="16.5" customHeight="1">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row>
    <row r="118" spans="1:48" ht="16.5" customHeight="1">
      <c r="B118" s="93" t="s">
        <v>4409</v>
      </c>
      <c r="C118" s="93" t="s">
        <v>4410</v>
      </c>
      <c r="D118" s="93"/>
      <c r="E118" s="93"/>
      <c r="F118" s="93" t="s">
        <v>3592</v>
      </c>
      <c r="G118" s="93"/>
      <c r="H118" s="93"/>
      <c r="I118" s="93"/>
      <c r="J118" s="93"/>
    </row>
    <row r="119" spans="1:48" ht="16.5" customHeight="1">
      <c r="B119" s="93" t="s">
        <v>4411</v>
      </c>
      <c r="C119" s="93" t="s">
        <v>4412</v>
      </c>
      <c r="D119" s="93"/>
      <c r="E119" s="93"/>
      <c r="F119" s="93"/>
      <c r="G119" s="93"/>
      <c r="H119" s="93"/>
      <c r="I119" s="93"/>
      <c r="J119" s="93"/>
    </row>
    <row r="120" spans="1:48" ht="16.5" customHeight="1">
      <c r="B120" s="93">
        <v>1</v>
      </c>
      <c r="C120" s="93" t="s">
        <v>4413</v>
      </c>
      <c r="D120" s="93"/>
      <c r="E120" s="93"/>
      <c r="F120" s="93" t="s">
        <v>3592</v>
      </c>
      <c r="G120" s="93"/>
      <c r="H120" s="93"/>
      <c r="I120" s="93"/>
      <c r="J120" s="93"/>
    </row>
    <row r="121" spans="1:48" ht="16.5" customHeight="1">
      <c r="B121" s="93"/>
      <c r="C121" s="93"/>
      <c r="D121" s="93"/>
      <c r="E121" s="93"/>
      <c r="F121" s="93"/>
      <c r="G121" s="93"/>
      <c r="H121" s="93"/>
      <c r="I121" s="93"/>
      <c r="J121" s="93"/>
    </row>
    <row r="122" spans="1:48" ht="16.5" customHeight="1">
      <c r="B122" s="518" t="s">
        <v>4429</v>
      </c>
      <c r="C122" s="518"/>
      <c r="D122" s="518"/>
      <c r="E122" s="518"/>
      <c r="F122" s="93" t="s">
        <v>3592</v>
      </c>
      <c r="G122" s="93"/>
      <c r="H122" s="93"/>
      <c r="I122" s="93"/>
      <c r="J122" s="93"/>
    </row>
    <row r="123" spans="1:48" ht="16.5" customHeight="1">
      <c r="B123" s="94" t="s">
        <v>4415</v>
      </c>
      <c r="C123" s="94" t="s">
        <v>4430</v>
      </c>
      <c r="D123" s="94" t="s">
        <v>4416</v>
      </c>
      <c r="E123" s="94" t="s">
        <v>4431</v>
      </c>
      <c r="F123" s="518" t="s">
        <v>4432</v>
      </c>
      <c r="G123" s="518"/>
      <c r="H123" s="104" t="s">
        <v>1238</v>
      </c>
      <c r="I123" s="93"/>
      <c r="J123" s="93"/>
    </row>
    <row r="124" spans="1:48" ht="16.5" customHeight="1">
      <c r="B124" s="160">
        <v>0.05</v>
      </c>
      <c r="C124" s="93">
        <v>1</v>
      </c>
      <c r="D124" s="93">
        <v>1</v>
      </c>
      <c r="E124" s="93">
        <v>200000</v>
      </c>
      <c r="F124" s="676">
        <f>PPMT(B124/12,C124,D124*12,E124,0)</f>
        <v>-16288.163024360092</v>
      </c>
      <c r="G124" s="676"/>
      <c r="H124" s="108" t="s">
        <v>4433</v>
      </c>
      <c r="I124" s="93"/>
      <c r="J124" s="93"/>
    </row>
    <row r="125" spans="1:48" ht="16.5" customHeight="1">
      <c r="B125" s="93"/>
      <c r="C125" s="93"/>
      <c r="D125" s="93"/>
      <c r="E125" s="93"/>
      <c r="F125" s="93"/>
      <c r="G125" s="93"/>
      <c r="H125" s="93"/>
      <c r="I125" s="93"/>
      <c r="J125" s="93"/>
    </row>
    <row r="126" spans="1:48" ht="16.5" customHeight="1">
      <c r="B126" s="93"/>
      <c r="C126" s="93"/>
      <c r="D126" s="93"/>
      <c r="E126" s="93"/>
      <c r="F126" s="93" t="s">
        <v>3592</v>
      </c>
      <c r="G126" s="93"/>
      <c r="H126" s="93"/>
      <c r="I126" s="93"/>
      <c r="J126" s="93"/>
    </row>
    <row r="127" spans="1:48">
      <c r="B127" s="93"/>
      <c r="C127" s="93"/>
      <c r="D127" s="93"/>
      <c r="E127" s="93"/>
      <c r="F127" s="93"/>
      <c r="G127" s="93"/>
      <c r="H127" s="93"/>
      <c r="I127" s="93"/>
      <c r="J127" s="93"/>
    </row>
    <row r="131" spans="6:7">
      <c r="F131" s="93"/>
      <c r="G131" s="93"/>
    </row>
    <row r="132" spans="6:7">
      <c r="F132" s="93"/>
      <c r="G132" s="93"/>
    </row>
    <row r="133" spans="6:7">
      <c r="F133" s="93"/>
      <c r="G133" s="93"/>
    </row>
    <row r="134" spans="6:7">
      <c r="F134" s="93"/>
      <c r="G134" s="93"/>
    </row>
    <row r="200" spans="1:13" s="88" customFormat="1" ht="26.25" customHeight="1">
      <c r="A200" s="498" t="s">
        <v>809</v>
      </c>
      <c r="B200" s="498"/>
      <c r="C200" s="499"/>
      <c r="D200" s="87"/>
      <c r="E200" s="500" t="str">
        <f>HYPERLINK("#目录!A343","跳转回到目录页")</f>
        <v>跳转回到目录页</v>
      </c>
      <c r="F200" s="501"/>
    </row>
    <row r="201" spans="1:13" s="88" customFormat="1" ht="26.25" customHeight="1">
      <c r="A201" s="502" t="s">
        <v>1216</v>
      </c>
      <c r="B201" s="502"/>
      <c r="C201" s="503" t="s">
        <v>547</v>
      </c>
      <c r="D201" s="503"/>
      <c r="E201" s="503"/>
      <c r="F201" s="503"/>
      <c r="G201" s="503"/>
      <c r="H201" s="503"/>
      <c r="I201" s="503"/>
      <c r="J201" s="503"/>
      <c r="K201" s="503"/>
      <c r="L201" s="503"/>
      <c r="M201" s="503"/>
    </row>
    <row r="202" spans="1:13" s="88" customFormat="1" ht="16.5" customHeight="1">
      <c r="A202" s="496" t="s">
        <v>1217</v>
      </c>
      <c r="B202" s="496"/>
      <c r="C202" s="493" t="s">
        <v>4434</v>
      </c>
      <c r="D202" s="493"/>
      <c r="E202" s="493"/>
      <c r="F202" s="493"/>
      <c r="G202" s="493"/>
      <c r="H202" s="493"/>
      <c r="I202" s="493"/>
      <c r="J202" s="493"/>
      <c r="K202" s="493"/>
      <c r="L202" s="493"/>
      <c r="M202" s="493"/>
    </row>
    <row r="203" spans="1:13" s="88" customFormat="1" ht="16.5" customHeight="1">
      <c r="A203" s="496" t="s">
        <v>5786</v>
      </c>
      <c r="B203" s="496"/>
      <c r="C203" s="497" t="s">
        <v>547</v>
      </c>
      <c r="D203" s="497"/>
      <c r="E203" s="497"/>
      <c r="F203" s="497"/>
      <c r="G203" s="497"/>
      <c r="H203" s="497"/>
      <c r="I203" s="497"/>
      <c r="J203" s="497"/>
      <c r="K203" s="497"/>
      <c r="L203" s="497"/>
      <c r="M203" s="497"/>
    </row>
    <row r="204" spans="1:13" s="88" customFormat="1" ht="16.5" customHeight="1">
      <c r="A204" s="496" t="s">
        <v>1220</v>
      </c>
      <c r="B204" s="496"/>
      <c r="C204" s="493" t="s">
        <v>4435</v>
      </c>
      <c r="D204" s="493"/>
      <c r="E204" s="493"/>
      <c r="F204" s="493"/>
      <c r="G204" s="493"/>
      <c r="H204" s="493"/>
      <c r="I204" s="493"/>
      <c r="J204" s="493"/>
      <c r="K204" s="493"/>
      <c r="L204" s="493"/>
      <c r="M204" s="493"/>
    </row>
    <row r="205" spans="1:13" s="88" customFormat="1" ht="16.5" customHeight="1">
      <c r="A205" s="496" t="s">
        <v>5785</v>
      </c>
      <c r="B205" s="496"/>
      <c r="C205" s="493" t="s">
        <v>4436</v>
      </c>
      <c r="D205" s="493"/>
      <c r="E205" s="493"/>
      <c r="F205" s="493"/>
      <c r="G205" s="493"/>
      <c r="H205" s="493"/>
      <c r="I205" s="493"/>
      <c r="J205" s="493"/>
      <c r="K205" s="493"/>
      <c r="L205" s="493"/>
      <c r="M205" s="493"/>
    </row>
    <row r="206" spans="1:13" s="88" customFormat="1" ht="16.5" customHeight="1">
      <c r="A206" s="89" t="s">
        <v>1223</v>
      </c>
      <c r="B206" s="92" t="s">
        <v>4399</v>
      </c>
      <c r="C206" s="493" t="s">
        <v>4437</v>
      </c>
      <c r="D206" s="493"/>
      <c r="E206" s="493"/>
      <c r="F206" s="493"/>
      <c r="G206" s="493"/>
      <c r="H206" s="493"/>
      <c r="I206" s="493"/>
      <c r="J206" s="493"/>
      <c r="K206" s="493"/>
      <c r="L206" s="493"/>
      <c r="M206" s="493"/>
    </row>
    <row r="207" spans="1:13" s="88" customFormat="1" ht="16.5" customHeight="1">
      <c r="A207" s="89"/>
      <c r="B207" s="92" t="s">
        <v>4401</v>
      </c>
      <c r="C207" s="493" t="s">
        <v>4438</v>
      </c>
      <c r="D207" s="493"/>
      <c r="E207" s="493"/>
      <c r="F207" s="493"/>
      <c r="G207" s="493"/>
      <c r="H207" s="493"/>
      <c r="I207" s="493"/>
      <c r="J207" s="493"/>
      <c r="K207" s="493"/>
      <c r="L207" s="493"/>
      <c r="M207" s="493"/>
    </row>
    <row r="208" spans="1:13" s="88" customFormat="1" ht="16.5" customHeight="1">
      <c r="A208" s="89"/>
      <c r="B208" s="90" t="s">
        <v>4403</v>
      </c>
      <c r="C208" s="493" t="s">
        <v>4439</v>
      </c>
      <c r="D208" s="493"/>
      <c r="E208" s="493"/>
      <c r="F208" s="493"/>
      <c r="G208" s="493"/>
      <c r="H208" s="493"/>
      <c r="I208" s="493"/>
      <c r="J208" s="493"/>
      <c r="K208" s="493"/>
      <c r="L208" s="493"/>
      <c r="M208" s="493"/>
    </row>
    <row r="209" spans="1:13" s="88" customFormat="1" ht="16.5" customHeight="1">
      <c r="A209" s="89"/>
      <c r="B209" s="92" t="s">
        <v>4440</v>
      </c>
      <c r="C209" s="493" t="s">
        <v>4441</v>
      </c>
      <c r="D209" s="493"/>
      <c r="E209" s="493"/>
      <c r="F209" s="493"/>
      <c r="G209" s="493"/>
      <c r="H209" s="493"/>
      <c r="I209" s="493"/>
      <c r="J209" s="493"/>
      <c r="K209" s="493"/>
      <c r="L209" s="493"/>
      <c r="M209" s="493"/>
    </row>
    <row r="210" spans="1:13" s="88" customFormat="1" ht="16.5" customHeight="1">
      <c r="A210" s="89"/>
      <c r="B210" s="90" t="s">
        <v>4442</v>
      </c>
      <c r="C210" s="493" t="s">
        <v>4443</v>
      </c>
      <c r="D210" s="493"/>
      <c r="E210" s="493"/>
      <c r="F210" s="493"/>
      <c r="G210" s="493"/>
      <c r="H210" s="493"/>
      <c r="I210" s="493"/>
      <c r="J210" s="493"/>
      <c r="K210" s="493"/>
      <c r="L210" s="493"/>
      <c r="M210" s="493"/>
    </row>
    <row r="211" spans="1:13" s="88" customFormat="1" ht="16.5" customHeight="1">
      <c r="A211" s="89"/>
      <c r="B211" s="90" t="s">
        <v>4250</v>
      </c>
      <c r="C211" s="493" t="s">
        <v>4444</v>
      </c>
      <c r="D211" s="493"/>
      <c r="E211" s="493"/>
      <c r="F211" s="493"/>
      <c r="G211" s="493"/>
      <c r="H211" s="493"/>
      <c r="I211" s="493"/>
      <c r="J211" s="493"/>
      <c r="K211" s="493"/>
      <c r="L211" s="493"/>
      <c r="M211" s="493"/>
    </row>
    <row r="212" spans="1:13" s="88" customFormat="1" ht="16.5" customHeight="1">
      <c r="A212" s="89" t="s">
        <v>1228</v>
      </c>
      <c r="B212" s="493"/>
      <c r="C212" s="493"/>
      <c r="D212" s="493"/>
      <c r="E212" s="493"/>
      <c r="F212" s="493"/>
      <c r="G212" s="493"/>
      <c r="H212" s="493"/>
      <c r="I212" s="493"/>
      <c r="J212" s="493"/>
      <c r="K212" s="493"/>
      <c r="L212" s="493"/>
      <c r="M212" s="493"/>
    </row>
    <row r="213" spans="1:13" ht="86.25" customHeight="1">
      <c r="A213" s="89" t="s">
        <v>1229</v>
      </c>
      <c r="B213" s="673" t="s">
        <v>4445</v>
      </c>
      <c r="C213" s="673"/>
      <c r="D213" s="673"/>
      <c r="E213" s="673"/>
      <c r="F213" s="673"/>
      <c r="G213" s="673"/>
      <c r="H213" s="673"/>
      <c r="I213" s="673"/>
      <c r="J213" s="673"/>
      <c r="K213" s="673"/>
      <c r="L213" s="673"/>
      <c r="M213" s="673"/>
    </row>
    <row r="214" spans="1:13" ht="21" customHeight="1">
      <c r="B214" s="494" t="s">
        <v>2863</v>
      </c>
      <c r="C214" s="494"/>
      <c r="D214" s="494"/>
      <c r="E214" s="494"/>
      <c r="F214" s="494"/>
      <c r="G214" s="494"/>
      <c r="H214" s="494"/>
      <c r="I214" s="494"/>
      <c r="J214" s="494"/>
      <c r="K214" s="494"/>
      <c r="L214" s="495"/>
    </row>
    <row r="215" spans="1:13" s="93" customFormat="1" ht="16.5" customHeight="1"/>
    <row r="216" spans="1:13" s="93" customFormat="1" ht="16.5" customHeight="1">
      <c r="A216" s="94" t="s">
        <v>1232</v>
      </c>
      <c r="B216" s="93" t="s">
        <v>1773</v>
      </c>
    </row>
    <row r="217" spans="1:13" ht="16.5" customHeight="1">
      <c r="F217" s="93"/>
      <c r="G217" s="93"/>
    </row>
    <row r="218" spans="1:13" ht="16.5" customHeight="1">
      <c r="B218" s="93" t="s">
        <v>3075</v>
      </c>
      <c r="C218" s="93" t="s">
        <v>3078</v>
      </c>
      <c r="F218" s="93"/>
      <c r="G218" s="93"/>
    </row>
    <row r="219" spans="1:13" ht="16.5" customHeight="1">
      <c r="B219" s="93" t="s">
        <v>4446</v>
      </c>
      <c r="C219" s="93" t="s">
        <v>4447</v>
      </c>
      <c r="F219" s="93"/>
      <c r="G219" s="93"/>
    </row>
    <row r="220" spans="1:13" ht="16.5" customHeight="1">
      <c r="B220" s="93">
        <v>1</v>
      </c>
      <c r="C220" s="93" t="s">
        <v>4448</v>
      </c>
      <c r="F220" s="93"/>
      <c r="G220" s="93"/>
    </row>
    <row r="221" spans="1:13" ht="16.5" customHeight="1">
      <c r="G221" s="93"/>
    </row>
    <row r="222" spans="1:13" ht="16.5" customHeight="1">
      <c r="B222" s="94" t="s">
        <v>4415</v>
      </c>
      <c r="C222" s="94" t="s">
        <v>4416</v>
      </c>
      <c r="D222" s="94" t="s">
        <v>4431</v>
      </c>
      <c r="E222" s="94" t="s">
        <v>4430</v>
      </c>
      <c r="F222" s="94" t="s">
        <v>4432</v>
      </c>
      <c r="G222" s="104" t="s">
        <v>1238</v>
      </c>
    </row>
    <row r="223" spans="1:13" ht="16.5" customHeight="1">
      <c r="B223" s="171">
        <v>0.09</v>
      </c>
      <c r="C223" s="4">
        <v>30</v>
      </c>
      <c r="D223" s="4">
        <v>125000</v>
      </c>
      <c r="E223" s="4">
        <v>1</v>
      </c>
      <c r="F223" s="93">
        <f>CUMPRINC(B223/12,C223*12,D223,1,E223,0)</f>
        <v>-68.278271180978393</v>
      </c>
      <c r="G223" s="108" t="s">
        <v>4449</v>
      </c>
    </row>
    <row r="224" spans="1:13" ht="16.5" customHeight="1">
      <c r="F224" s="93"/>
      <c r="G224" s="93"/>
    </row>
    <row r="225" spans="2:7" ht="16.5" customHeight="1">
      <c r="F225" s="93"/>
      <c r="G225" s="93"/>
    </row>
    <row r="226" spans="2:7">
      <c r="F226" s="93"/>
      <c r="G226" s="93"/>
    </row>
    <row r="227" spans="2:7">
      <c r="F227" s="93"/>
      <c r="G227" s="93"/>
    </row>
    <row r="228" spans="2:7">
      <c r="F228" s="93"/>
      <c r="G228" s="93"/>
    </row>
    <row r="229" spans="2:7">
      <c r="B229" s="172"/>
      <c r="F229" s="93"/>
      <c r="G229" s="93"/>
    </row>
    <row r="231" spans="2:7">
      <c r="B231" s="173"/>
    </row>
    <row r="233" spans="2:7">
      <c r="G233" s="93"/>
    </row>
    <row r="234" spans="2:7">
      <c r="G234" s="93"/>
    </row>
    <row r="235" spans="2:7">
      <c r="G235" s="93"/>
    </row>
    <row r="236" spans="2:7">
      <c r="G236" s="93"/>
    </row>
    <row r="237" spans="2:7">
      <c r="G237" s="93"/>
    </row>
    <row r="238" spans="2:7">
      <c r="G238" s="93"/>
    </row>
    <row r="239" spans="2:7">
      <c r="G239" s="93"/>
    </row>
    <row r="240" spans="2:7">
      <c r="G240" s="93"/>
    </row>
    <row r="241" spans="7:7">
      <c r="G241" s="93"/>
    </row>
    <row r="242" spans="7:7">
      <c r="G242" s="93"/>
    </row>
    <row r="246" spans="7:7">
      <c r="G246" s="93"/>
    </row>
    <row r="247" spans="7:7">
      <c r="G247" s="93"/>
    </row>
    <row r="248" spans="7:7">
      <c r="G248" s="93"/>
    </row>
    <row r="249" spans="7:7">
      <c r="G249" s="93"/>
    </row>
    <row r="250" spans="7:7">
      <c r="G250" s="93"/>
    </row>
    <row r="251" spans="7:7">
      <c r="G251" s="93"/>
    </row>
    <row r="252" spans="7:7">
      <c r="G252" s="93"/>
    </row>
    <row r="253" spans="7:7">
      <c r="G253" s="93"/>
    </row>
    <row r="300" spans="1:13" s="88" customFormat="1" ht="26.25" customHeight="1">
      <c r="A300" s="498" t="s">
        <v>967</v>
      </c>
      <c r="B300" s="498"/>
      <c r="C300" s="499"/>
      <c r="D300" s="87"/>
      <c r="E300" s="500" t="str">
        <f>HYPERLINK("#目录!A345","跳转回到目录页")</f>
        <v>跳转回到目录页</v>
      </c>
      <c r="F300" s="501"/>
    </row>
    <row r="301" spans="1:13" s="88" customFormat="1" ht="26.25" customHeight="1">
      <c r="A301" s="502" t="s">
        <v>1216</v>
      </c>
      <c r="B301" s="502"/>
      <c r="C301" s="503" t="s">
        <v>549</v>
      </c>
      <c r="D301" s="503"/>
      <c r="E301" s="503"/>
      <c r="F301" s="503"/>
      <c r="G301" s="503"/>
      <c r="H301" s="503"/>
      <c r="I301" s="503"/>
      <c r="J301" s="503"/>
      <c r="K301" s="503"/>
      <c r="L301" s="503"/>
      <c r="M301" s="503"/>
    </row>
    <row r="302" spans="1:13" s="88" customFormat="1" ht="16.5" customHeight="1">
      <c r="A302" s="496" t="s">
        <v>1217</v>
      </c>
      <c r="B302" s="496"/>
      <c r="C302" s="493" t="s">
        <v>4450</v>
      </c>
      <c r="D302" s="493"/>
      <c r="E302" s="493"/>
      <c r="F302" s="493"/>
      <c r="G302" s="493"/>
      <c r="H302" s="493"/>
      <c r="I302" s="493"/>
      <c r="J302" s="493"/>
      <c r="K302" s="493"/>
      <c r="L302" s="493"/>
      <c r="M302" s="493"/>
    </row>
    <row r="303" spans="1:13" s="88" customFormat="1" ht="16.5" customHeight="1">
      <c r="A303" s="496" t="s">
        <v>5786</v>
      </c>
      <c r="B303" s="496"/>
      <c r="C303" s="497" t="s">
        <v>549</v>
      </c>
      <c r="D303" s="497"/>
      <c r="E303" s="497"/>
      <c r="F303" s="497"/>
      <c r="G303" s="497"/>
      <c r="H303" s="497"/>
      <c r="I303" s="497"/>
      <c r="J303" s="497"/>
      <c r="K303" s="497"/>
      <c r="L303" s="497"/>
      <c r="M303" s="497"/>
    </row>
    <row r="304" spans="1:13" s="88" customFormat="1" ht="16.5" customHeight="1">
      <c r="A304" s="496" t="s">
        <v>1220</v>
      </c>
      <c r="B304" s="496"/>
      <c r="C304" s="493" t="s">
        <v>4451</v>
      </c>
      <c r="D304" s="493"/>
      <c r="E304" s="493"/>
      <c r="F304" s="493"/>
      <c r="G304" s="493"/>
      <c r="H304" s="493"/>
      <c r="I304" s="493"/>
      <c r="J304" s="493"/>
      <c r="K304" s="493"/>
      <c r="L304" s="493"/>
      <c r="M304" s="493"/>
    </row>
    <row r="305" spans="1:13" s="88" customFormat="1" ht="16.5" customHeight="1">
      <c r="A305" s="496" t="s">
        <v>5785</v>
      </c>
      <c r="B305" s="496"/>
      <c r="C305" s="493" t="s">
        <v>4452</v>
      </c>
      <c r="D305" s="493"/>
      <c r="E305" s="493"/>
      <c r="F305" s="493"/>
      <c r="G305" s="493"/>
      <c r="H305" s="493"/>
      <c r="I305" s="493"/>
      <c r="J305" s="493"/>
      <c r="K305" s="493"/>
      <c r="L305" s="493"/>
      <c r="M305" s="493"/>
    </row>
    <row r="306" spans="1:13" s="88" customFormat="1" ht="16.5" customHeight="1">
      <c r="A306" s="89" t="s">
        <v>1223</v>
      </c>
      <c r="B306" s="92" t="s">
        <v>4399</v>
      </c>
      <c r="C306" s="493" t="s">
        <v>4423</v>
      </c>
      <c r="D306" s="493"/>
      <c r="E306" s="493"/>
      <c r="F306" s="493"/>
      <c r="G306" s="493"/>
      <c r="H306" s="493"/>
      <c r="I306" s="493"/>
      <c r="J306" s="493"/>
      <c r="K306" s="493"/>
      <c r="L306" s="493"/>
      <c r="M306" s="493"/>
    </row>
    <row r="307" spans="1:13" s="88" customFormat="1" ht="16.5" customHeight="1">
      <c r="A307" s="89"/>
      <c r="B307" s="92" t="s">
        <v>4424</v>
      </c>
      <c r="C307" s="493" t="s">
        <v>4453</v>
      </c>
      <c r="D307" s="493"/>
      <c r="E307" s="493"/>
      <c r="F307" s="493"/>
      <c r="G307" s="493"/>
      <c r="H307" s="493"/>
      <c r="I307" s="493"/>
      <c r="J307" s="493"/>
      <c r="K307" s="493"/>
      <c r="L307" s="493"/>
      <c r="M307" s="493"/>
    </row>
    <row r="308" spans="1:13" s="88" customFormat="1" ht="16.5" customHeight="1">
      <c r="A308" s="89"/>
      <c r="B308" s="92" t="s">
        <v>4401</v>
      </c>
      <c r="C308" s="493" t="s">
        <v>4426</v>
      </c>
      <c r="D308" s="493"/>
      <c r="E308" s="493"/>
      <c r="F308" s="493"/>
      <c r="G308" s="493"/>
      <c r="H308" s="493"/>
      <c r="I308" s="493"/>
      <c r="J308" s="493"/>
      <c r="K308" s="493"/>
      <c r="L308" s="493"/>
      <c r="M308" s="493"/>
    </row>
    <row r="309" spans="1:13" s="88" customFormat="1" ht="16.5" customHeight="1">
      <c r="A309" s="89"/>
      <c r="B309" s="90" t="s">
        <v>4403</v>
      </c>
      <c r="C309" s="493" t="s">
        <v>4454</v>
      </c>
      <c r="D309" s="493"/>
      <c r="E309" s="493"/>
      <c r="F309" s="493"/>
      <c r="G309" s="493"/>
      <c r="H309" s="493"/>
      <c r="I309" s="493"/>
      <c r="J309" s="493"/>
      <c r="K309" s="493"/>
      <c r="L309" s="493"/>
      <c r="M309" s="493"/>
    </row>
    <row r="310" spans="1:13" s="88" customFormat="1" ht="16.5" customHeight="1">
      <c r="A310" s="89"/>
      <c r="B310" s="92" t="s">
        <v>4405</v>
      </c>
      <c r="C310" s="493" t="s">
        <v>4455</v>
      </c>
      <c r="D310" s="493"/>
      <c r="E310" s="493"/>
      <c r="F310" s="493"/>
      <c r="G310" s="493"/>
      <c r="H310" s="493"/>
      <c r="I310" s="493"/>
      <c r="J310" s="493"/>
      <c r="K310" s="493"/>
      <c r="L310" s="493"/>
      <c r="M310" s="493"/>
    </row>
    <row r="311" spans="1:13" s="88" customFormat="1" ht="16.5" customHeight="1">
      <c r="A311" s="89"/>
      <c r="B311" s="90" t="s">
        <v>4250</v>
      </c>
      <c r="C311" s="493" t="s">
        <v>4456</v>
      </c>
      <c r="D311" s="493"/>
      <c r="E311" s="493"/>
      <c r="F311" s="493"/>
      <c r="G311" s="493"/>
      <c r="H311" s="493"/>
      <c r="I311" s="493"/>
      <c r="J311" s="493"/>
      <c r="K311" s="493"/>
      <c r="L311" s="493"/>
      <c r="M311" s="493"/>
    </row>
    <row r="312" spans="1:13" s="88" customFormat="1" ht="16.5" customHeight="1">
      <c r="A312" s="89" t="s">
        <v>1228</v>
      </c>
      <c r="B312" s="493" t="s">
        <v>4457</v>
      </c>
      <c r="C312" s="493"/>
      <c r="D312" s="493"/>
      <c r="E312" s="493"/>
      <c r="F312" s="493"/>
      <c r="G312" s="493"/>
      <c r="H312" s="493"/>
      <c r="I312" s="493"/>
      <c r="J312" s="493"/>
      <c r="K312" s="493"/>
      <c r="L312" s="493"/>
      <c r="M312" s="493"/>
    </row>
    <row r="313" spans="1:13" ht="38.25" customHeight="1">
      <c r="A313" s="89" t="s">
        <v>1229</v>
      </c>
      <c r="B313" s="673" t="s">
        <v>4458</v>
      </c>
      <c r="C313" s="673"/>
      <c r="D313" s="673"/>
      <c r="E313" s="673"/>
      <c r="F313" s="673"/>
      <c r="G313" s="673"/>
      <c r="H313" s="673"/>
      <c r="I313" s="673"/>
      <c r="J313" s="673"/>
      <c r="K313" s="673"/>
      <c r="L313" s="673"/>
      <c r="M313" s="673"/>
    </row>
    <row r="314" spans="1:13" ht="21" customHeight="1">
      <c r="B314" s="494" t="s">
        <v>2863</v>
      </c>
      <c r="C314" s="494"/>
      <c r="D314" s="494"/>
      <c r="E314" s="494"/>
      <c r="F314" s="494"/>
      <c r="G314" s="494"/>
      <c r="H314" s="494"/>
      <c r="I314" s="494"/>
      <c r="J314" s="494"/>
      <c r="K314" s="494"/>
      <c r="L314" s="495"/>
    </row>
    <row r="315" spans="1:13" s="93" customFormat="1" ht="16.5" customHeight="1"/>
    <row r="316" spans="1:13" s="93" customFormat="1" ht="16.5" customHeight="1">
      <c r="A316" s="94" t="s">
        <v>1232</v>
      </c>
      <c r="B316" s="93" t="s">
        <v>1773</v>
      </c>
    </row>
    <row r="317" spans="1:13" ht="16.5" customHeight="1">
      <c r="B317" s="93"/>
      <c r="C317" s="93"/>
      <c r="D317" s="93"/>
      <c r="E317" s="93"/>
      <c r="F317" s="93"/>
      <c r="G317" s="93"/>
      <c r="H317" s="93"/>
      <c r="I317" s="93"/>
      <c r="J317" s="93"/>
    </row>
    <row r="318" spans="1:13" ht="16.5" customHeight="1">
      <c r="B318" s="93" t="s">
        <v>4409</v>
      </c>
      <c r="C318" s="93" t="s">
        <v>4410</v>
      </c>
      <c r="D318" s="93"/>
      <c r="E318" s="93"/>
      <c r="F318" s="93"/>
      <c r="G318" s="93"/>
      <c r="H318" s="93"/>
      <c r="I318" s="93"/>
      <c r="J318" s="93"/>
    </row>
    <row r="319" spans="1:13" ht="16.5" customHeight="1">
      <c r="B319" s="93">
        <v>0</v>
      </c>
      <c r="C319" s="93" t="s">
        <v>4412</v>
      </c>
      <c r="D319" s="93"/>
      <c r="E319" s="93"/>
      <c r="F319" s="93"/>
      <c r="G319" s="93"/>
      <c r="H319" s="93"/>
      <c r="I319" s="93"/>
      <c r="J319" s="93"/>
    </row>
    <row r="320" spans="1:13" ht="16.5" customHeight="1">
      <c r="B320" s="93">
        <v>1</v>
      </c>
      <c r="C320" s="93" t="s">
        <v>4413</v>
      </c>
      <c r="D320" s="93"/>
      <c r="E320" s="93"/>
      <c r="F320" s="93"/>
      <c r="G320" s="93"/>
      <c r="H320" s="93"/>
      <c r="I320" s="93"/>
      <c r="J320" s="93"/>
    </row>
    <row r="321" spans="2:10" ht="16.5" customHeight="1">
      <c r="B321" s="93"/>
      <c r="C321" s="93"/>
      <c r="D321" s="93"/>
      <c r="E321" s="93"/>
      <c r="F321" s="93"/>
      <c r="G321" s="93"/>
      <c r="H321" s="93"/>
      <c r="I321" s="93"/>
      <c r="J321" s="93"/>
    </row>
    <row r="322" spans="2:10" ht="16.5" customHeight="1">
      <c r="B322" s="518" t="s">
        <v>4459</v>
      </c>
      <c r="C322" s="518"/>
      <c r="D322" s="518"/>
      <c r="E322" s="518"/>
      <c r="F322" s="518"/>
      <c r="G322" s="93"/>
      <c r="H322" s="93"/>
      <c r="I322" s="93"/>
      <c r="J322" s="93"/>
    </row>
    <row r="323" spans="2:10" ht="16.5" customHeight="1">
      <c r="B323" s="94" t="s">
        <v>4415</v>
      </c>
      <c r="C323" s="94" t="s">
        <v>4430</v>
      </c>
      <c r="D323" s="94" t="s">
        <v>4416</v>
      </c>
      <c r="E323" s="94" t="s">
        <v>4431</v>
      </c>
      <c r="F323" s="94" t="s">
        <v>4460</v>
      </c>
      <c r="G323" s="104" t="s">
        <v>1238</v>
      </c>
      <c r="H323" s="93"/>
      <c r="I323" s="93"/>
      <c r="J323" s="93"/>
    </row>
    <row r="324" spans="2:10" ht="16.5" customHeight="1">
      <c r="B324" s="160">
        <v>0.05</v>
      </c>
      <c r="C324" s="93">
        <v>1</v>
      </c>
      <c r="D324" s="93">
        <v>1</v>
      </c>
      <c r="E324" s="93">
        <v>200000</v>
      </c>
      <c r="F324" s="156">
        <f>IPMT(B324/12,C324,D324*12,E324,0)</f>
        <v>-833.33333333333337</v>
      </c>
      <c r="G324" s="108" t="s">
        <v>4461</v>
      </c>
      <c r="H324" s="93"/>
      <c r="I324" s="93"/>
      <c r="J324" s="93"/>
    </row>
    <row r="325" spans="2:10">
      <c r="B325" s="93"/>
      <c r="C325" s="93"/>
      <c r="D325" s="93"/>
      <c r="E325" s="93"/>
      <c r="F325" s="93" t="s">
        <v>3592</v>
      </c>
      <c r="G325" s="93"/>
      <c r="H325" s="93"/>
      <c r="I325" s="93"/>
      <c r="J325" s="93"/>
    </row>
    <row r="326" spans="2:10">
      <c r="B326" s="93"/>
      <c r="C326" s="93"/>
      <c r="D326" s="93"/>
      <c r="E326" s="93"/>
      <c r="F326" s="93"/>
      <c r="G326" s="93"/>
      <c r="H326" s="93"/>
      <c r="I326" s="93"/>
      <c r="J326" s="93"/>
    </row>
    <row r="327" spans="2:10">
      <c r="B327" s="93"/>
      <c r="C327" s="93"/>
      <c r="D327" s="93"/>
      <c r="E327" s="93"/>
      <c r="F327" s="93" t="s">
        <v>3592</v>
      </c>
      <c r="G327" s="93"/>
      <c r="H327" s="93"/>
      <c r="I327" s="93"/>
      <c r="J327" s="93"/>
    </row>
    <row r="328" spans="2:10">
      <c r="B328" s="93"/>
      <c r="C328" s="93"/>
      <c r="D328" s="93"/>
      <c r="E328" s="93"/>
      <c r="F328" s="93"/>
      <c r="G328" s="93"/>
      <c r="H328" s="93"/>
      <c r="I328" s="93"/>
      <c r="J328" s="93"/>
    </row>
    <row r="329" spans="2:10">
      <c r="B329" s="93"/>
      <c r="C329" s="93"/>
      <c r="D329" s="93"/>
      <c r="E329" s="93"/>
      <c r="F329" s="93" t="s">
        <v>3592</v>
      </c>
      <c r="G329" s="93"/>
      <c r="H329" s="93"/>
      <c r="I329" s="93"/>
      <c r="J329" s="93"/>
    </row>
    <row r="330" spans="2:10">
      <c r="B330" s="93"/>
      <c r="C330" s="93"/>
      <c r="D330" s="93"/>
      <c r="E330" s="93"/>
      <c r="F330" s="93"/>
      <c r="G330" s="93"/>
      <c r="H330" s="93"/>
      <c r="I330" s="93"/>
      <c r="J330" s="93"/>
    </row>
    <row r="331" spans="2:10">
      <c r="F331" s="93" t="s">
        <v>3592</v>
      </c>
      <c r="G331" s="93"/>
    </row>
    <row r="332" spans="2:10">
      <c r="F332" s="93"/>
      <c r="G332" s="93"/>
    </row>
    <row r="333" spans="2:10">
      <c r="F333" s="93" t="s">
        <v>3592</v>
      </c>
      <c r="G333" s="93"/>
    </row>
    <row r="338" spans="6:7">
      <c r="F338" s="93"/>
      <c r="G338" s="93"/>
    </row>
    <row r="339" spans="6:7">
      <c r="F339" s="93"/>
      <c r="G339" s="93"/>
    </row>
    <row r="340" spans="6:7">
      <c r="G340" s="93"/>
    </row>
    <row r="341" spans="6:7">
      <c r="G341" s="93"/>
    </row>
    <row r="342" spans="6:7">
      <c r="G342" s="93"/>
    </row>
    <row r="400" spans="1:6" s="88" customFormat="1" ht="26.25" customHeight="1">
      <c r="A400" s="498" t="s">
        <v>807</v>
      </c>
      <c r="B400" s="498"/>
      <c r="C400" s="499"/>
      <c r="D400" s="87"/>
      <c r="E400" s="500" t="str">
        <f>HYPERLINK("#目录!A346","跳转回到目录页")</f>
        <v>跳转回到目录页</v>
      </c>
      <c r="F400" s="501"/>
    </row>
    <row r="401" spans="1:13" s="88" customFormat="1" ht="26.25" customHeight="1">
      <c r="A401" s="502" t="s">
        <v>1216</v>
      </c>
      <c r="B401" s="502"/>
      <c r="C401" s="503" t="s">
        <v>550</v>
      </c>
      <c r="D401" s="503"/>
      <c r="E401" s="503"/>
      <c r="F401" s="503"/>
      <c r="G401" s="503"/>
      <c r="H401" s="503"/>
      <c r="I401" s="503"/>
      <c r="J401" s="503"/>
      <c r="K401" s="503"/>
      <c r="L401" s="503"/>
      <c r="M401" s="503"/>
    </row>
    <row r="402" spans="1:13" s="88" customFormat="1" ht="16.5" customHeight="1">
      <c r="A402" s="496" t="s">
        <v>1217</v>
      </c>
      <c r="B402" s="496"/>
      <c r="C402" s="493" t="s">
        <v>4462</v>
      </c>
      <c r="D402" s="493"/>
      <c r="E402" s="493"/>
      <c r="F402" s="493"/>
      <c r="G402" s="493"/>
      <c r="H402" s="493"/>
      <c r="I402" s="493"/>
      <c r="J402" s="493"/>
      <c r="K402" s="493"/>
      <c r="L402" s="493"/>
      <c r="M402" s="493"/>
    </row>
    <row r="403" spans="1:13" s="88" customFormat="1" ht="16.5" customHeight="1">
      <c r="A403" s="496" t="s">
        <v>5786</v>
      </c>
      <c r="B403" s="496"/>
      <c r="C403" s="497" t="s">
        <v>550</v>
      </c>
      <c r="D403" s="497"/>
      <c r="E403" s="497"/>
      <c r="F403" s="497"/>
      <c r="G403" s="497"/>
      <c r="H403" s="497"/>
      <c r="I403" s="497"/>
      <c r="J403" s="497"/>
      <c r="K403" s="497"/>
      <c r="L403" s="497"/>
      <c r="M403" s="497"/>
    </row>
    <row r="404" spans="1:13" s="88" customFormat="1" ht="16.5" customHeight="1">
      <c r="A404" s="496" t="s">
        <v>1220</v>
      </c>
      <c r="B404" s="496"/>
      <c r="C404" s="493" t="s">
        <v>4463</v>
      </c>
      <c r="D404" s="493"/>
      <c r="E404" s="493"/>
      <c r="F404" s="493"/>
      <c r="G404" s="493"/>
      <c r="H404" s="493"/>
      <c r="I404" s="493"/>
      <c r="J404" s="493"/>
      <c r="K404" s="493"/>
      <c r="L404" s="493"/>
      <c r="M404" s="493"/>
    </row>
    <row r="405" spans="1:13" s="88" customFormat="1" ht="16.5" customHeight="1">
      <c r="A405" s="496" t="s">
        <v>5785</v>
      </c>
      <c r="B405" s="496"/>
      <c r="C405" s="493" t="s">
        <v>4464</v>
      </c>
      <c r="D405" s="493"/>
      <c r="E405" s="493"/>
      <c r="F405" s="493"/>
      <c r="G405" s="493"/>
      <c r="H405" s="493"/>
      <c r="I405" s="493"/>
      <c r="J405" s="493"/>
      <c r="K405" s="493"/>
      <c r="L405" s="493"/>
      <c r="M405" s="493"/>
    </row>
    <row r="406" spans="1:13" s="88" customFormat="1" ht="16.5" customHeight="1">
      <c r="A406" s="89" t="s">
        <v>1223</v>
      </c>
      <c r="B406" s="92" t="s">
        <v>4399</v>
      </c>
      <c r="C406" s="493" t="s">
        <v>4437</v>
      </c>
      <c r="D406" s="493"/>
      <c r="E406" s="493"/>
      <c r="F406" s="493"/>
      <c r="G406" s="493"/>
      <c r="H406" s="493"/>
      <c r="I406" s="493"/>
      <c r="J406" s="493"/>
      <c r="K406" s="493"/>
      <c r="L406" s="493"/>
      <c r="M406" s="493"/>
    </row>
    <row r="407" spans="1:13" s="88" customFormat="1" ht="16.5" customHeight="1">
      <c r="A407" s="89"/>
      <c r="B407" s="92" t="s">
        <v>4401</v>
      </c>
      <c r="C407" s="493" t="s">
        <v>4438</v>
      </c>
      <c r="D407" s="493"/>
      <c r="E407" s="493"/>
      <c r="F407" s="493"/>
      <c r="G407" s="493"/>
      <c r="H407" s="493"/>
      <c r="I407" s="493"/>
      <c r="J407" s="493"/>
      <c r="K407" s="493"/>
      <c r="L407" s="493"/>
      <c r="M407" s="493"/>
    </row>
    <row r="408" spans="1:13" s="88" customFormat="1" ht="16.5" customHeight="1">
      <c r="A408" s="89"/>
      <c r="B408" s="90" t="s">
        <v>4403</v>
      </c>
      <c r="C408" s="493" t="s">
        <v>4439</v>
      </c>
      <c r="D408" s="493"/>
      <c r="E408" s="493"/>
      <c r="F408" s="493"/>
      <c r="G408" s="493"/>
      <c r="H408" s="493"/>
      <c r="I408" s="493"/>
      <c r="J408" s="493"/>
      <c r="K408" s="493"/>
      <c r="L408" s="493"/>
      <c r="M408" s="493"/>
    </row>
    <row r="409" spans="1:13" s="88" customFormat="1" ht="16.5" customHeight="1">
      <c r="A409" s="89"/>
      <c r="B409" s="92" t="s">
        <v>4440</v>
      </c>
      <c r="C409" s="493" t="s">
        <v>4441</v>
      </c>
      <c r="D409" s="493"/>
      <c r="E409" s="493"/>
      <c r="F409" s="493"/>
      <c r="G409" s="493"/>
      <c r="H409" s="493"/>
      <c r="I409" s="493"/>
      <c r="J409" s="493"/>
      <c r="K409" s="493"/>
      <c r="L409" s="493"/>
      <c r="M409" s="493"/>
    </row>
    <row r="410" spans="1:13" s="88" customFormat="1" ht="16.5" customHeight="1">
      <c r="A410" s="89"/>
      <c r="B410" s="90" t="s">
        <v>4442</v>
      </c>
      <c r="C410" s="493" t="s">
        <v>4443</v>
      </c>
      <c r="D410" s="493"/>
      <c r="E410" s="493"/>
      <c r="F410" s="493"/>
      <c r="G410" s="493"/>
      <c r="H410" s="493"/>
      <c r="I410" s="493"/>
      <c r="J410" s="493"/>
      <c r="K410" s="493"/>
      <c r="L410" s="493"/>
      <c r="M410" s="493"/>
    </row>
    <row r="411" spans="1:13" ht="85.5" customHeight="1">
      <c r="A411" s="89" t="s">
        <v>1229</v>
      </c>
      <c r="B411" s="673" t="s">
        <v>4465</v>
      </c>
      <c r="C411" s="673"/>
      <c r="D411" s="673"/>
      <c r="E411" s="673"/>
      <c r="F411" s="673"/>
      <c r="G411" s="673"/>
      <c r="H411" s="673"/>
      <c r="I411" s="673"/>
      <c r="J411" s="673"/>
      <c r="K411" s="673"/>
      <c r="L411" s="673"/>
      <c r="M411" s="673"/>
    </row>
    <row r="412" spans="1:13" ht="21" customHeight="1">
      <c r="B412" s="494" t="s">
        <v>2863</v>
      </c>
      <c r="C412" s="494"/>
      <c r="D412" s="494"/>
      <c r="E412" s="494"/>
      <c r="F412" s="494"/>
      <c r="G412" s="494"/>
      <c r="H412" s="494"/>
      <c r="I412" s="494"/>
      <c r="J412" s="494"/>
      <c r="K412" s="494"/>
      <c r="L412" s="495"/>
    </row>
    <row r="413" spans="1:13" s="93" customFormat="1" ht="16.5" customHeight="1"/>
    <row r="414" spans="1:13" s="93" customFormat="1" ht="16.5" customHeight="1">
      <c r="A414" s="94" t="s">
        <v>1232</v>
      </c>
      <c r="B414" s="93" t="s">
        <v>1773</v>
      </c>
      <c r="H414" s="4"/>
    </row>
    <row r="415" spans="1:13" ht="16.5" customHeight="1">
      <c r="F415" s="93"/>
      <c r="G415" s="93"/>
    </row>
    <row r="416" spans="1:13" ht="16.5" customHeight="1">
      <c r="B416" s="93" t="s">
        <v>4466</v>
      </c>
      <c r="C416" s="93"/>
      <c r="F416" s="93"/>
      <c r="G416" s="93"/>
    </row>
    <row r="417" spans="2:7" ht="16.5" customHeight="1">
      <c r="B417" s="93"/>
      <c r="C417" s="93"/>
      <c r="F417" s="93"/>
      <c r="G417" s="93"/>
    </row>
    <row r="418" spans="2:7" ht="16.5" customHeight="1">
      <c r="B418" s="93" t="s">
        <v>3075</v>
      </c>
      <c r="C418" s="93" t="s">
        <v>3078</v>
      </c>
      <c r="F418" s="93"/>
      <c r="G418" s="93"/>
    </row>
    <row r="419" spans="2:7" ht="16.5" customHeight="1">
      <c r="B419" s="93" t="s">
        <v>4446</v>
      </c>
      <c r="C419" s="93" t="s">
        <v>4447</v>
      </c>
      <c r="F419" s="93"/>
      <c r="G419" s="93"/>
    </row>
    <row r="420" spans="2:7" ht="16.5" customHeight="1">
      <c r="B420" s="93">
        <v>1</v>
      </c>
      <c r="C420" s="93" t="s">
        <v>4448</v>
      </c>
      <c r="F420" s="93"/>
      <c r="G420" s="93"/>
    </row>
    <row r="421" spans="2:7" ht="16.5" customHeight="1">
      <c r="F421" s="93"/>
      <c r="G421" s="93"/>
    </row>
    <row r="422" spans="2:7" ht="16.5" customHeight="1">
      <c r="F422" s="93"/>
      <c r="G422" s="93"/>
    </row>
    <row r="423" spans="2:7" ht="16.5" customHeight="1">
      <c r="B423" s="518" t="s">
        <v>4459</v>
      </c>
      <c r="C423" s="518"/>
      <c r="D423" s="518"/>
      <c r="E423" s="518"/>
      <c r="F423" s="518"/>
      <c r="G423" s="93"/>
    </row>
    <row r="424" spans="2:7" ht="16.5" customHeight="1">
      <c r="B424" s="94" t="s">
        <v>4415</v>
      </c>
      <c r="C424" s="94" t="s">
        <v>4416</v>
      </c>
      <c r="D424" s="94" t="s">
        <v>4431</v>
      </c>
      <c r="E424" s="94" t="s">
        <v>4430</v>
      </c>
      <c r="F424" s="94" t="s">
        <v>4460</v>
      </c>
      <c r="G424" s="104" t="s">
        <v>1238</v>
      </c>
    </row>
    <row r="425" spans="2:7" ht="16.5" customHeight="1">
      <c r="B425" s="160">
        <v>0.05</v>
      </c>
      <c r="C425" s="93">
        <v>1</v>
      </c>
      <c r="D425" s="93">
        <v>200000</v>
      </c>
      <c r="E425" s="93">
        <v>5</v>
      </c>
      <c r="F425" s="174">
        <f>CUMIPMT(B425/12,C425*12,D425,1,E425,0)</f>
        <v>-3485.1595050656906</v>
      </c>
      <c r="G425" s="108" t="s">
        <v>4467</v>
      </c>
    </row>
    <row r="426" spans="2:7" ht="16.5" customHeight="1"/>
    <row r="431" spans="2:7">
      <c r="F431" s="93"/>
      <c r="G431" s="93"/>
    </row>
    <row r="432" spans="2:7">
      <c r="F432" s="93"/>
      <c r="G432" s="93"/>
    </row>
    <row r="433" spans="6:7">
      <c r="F433" s="93"/>
      <c r="G433" s="93"/>
    </row>
    <row r="434" spans="6:7">
      <c r="G434" s="93"/>
    </row>
    <row r="435" spans="6:7">
      <c r="G435" s="93"/>
    </row>
    <row r="436" spans="6:7">
      <c r="G436" s="93"/>
    </row>
    <row r="437" spans="6:7">
      <c r="G437" s="93"/>
    </row>
    <row r="438" spans="6:7">
      <c r="G438" s="93"/>
    </row>
    <row r="500" spans="1:13" s="88" customFormat="1" ht="26.25" customHeight="1">
      <c r="A500" s="498" t="s">
        <v>988</v>
      </c>
      <c r="B500" s="498"/>
      <c r="C500" s="499"/>
      <c r="D500" s="87"/>
      <c r="E500" s="500" t="str">
        <f>HYPERLINK("#目录!A347","跳转回到目录页")</f>
        <v>跳转回到目录页</v>
      </c>
      <c r="F500" s="501"/>
    </row>
    <row r="501" spans="1:13" s="88" customFormat="1" ht="26.25" customHeight="1">
      <c r="A501" s="502" t="s">
        <v>1216</v>
      </c>
      <c r="B501" s="502"/>
      <c r="C501" s="503" t="s">
        <v>551</v>
      </c>
      <c r="D501" s="503"/>
      <c r="E501" s="503"/>
      <c r="F501" s="503"/>
      <c r="G501" s="503"/>
      <c r="H501" s="503"/>
      <c r="I501" s="503"/>
      <c r="J501" s="503"/>
      <c r="K501" s="503"/>
      <c r="L501" s="503"/>
      <c r="M501" s="503"/>
    </row>
    <row r="502" spans="1:13" s="88" customFormat="1" ht="16.5" customHeight="1">
      <c r="A502" s="496" t="s">
        <v>1217</v>
      </c>
      <c r="B502" s="496"/>
      <c r="C502" s="493" t="s">
        <v>4468</v>
      </c>
      <c r="D502" s="493"/>
      <c r="E502" s="493"/>
      <c r="F502" s="493"/>
      <c r="G502" s="493"/>
      <c r="H502" s="493"/>
      <c r="I502" s="493"/>
      <c r="J502" s="493"/>
      <c r="K502" s="493"/>
      <c r="L502" s="493"/>
      <c r="M502" s="493"/>
    </row>
    <row r="503" spans="1:13" s="88" customFormat="1" ht="16.5" customHeight="1">
      <c r="A503" s="496" t="s">
        <v>5786</v>
      </c>
      <c r="B503" s="496"/>
      <c r="C503" s="497" t="s">
        <v>551</v>
      </c>
      <c r="D503" s="497"/>
      <c r="E503" s="497"/>
      <c r="F503" s="497"/>
      <c r="G503" s="497"/>
      <c r="H503" s="497"/>
      <c r="I503" s="497"/>
      <c r="J503" s="497"/>
      <c r="K503" s="497"/>
      <c r="L503" s="497"/>
      <c r="M503" s="497"/>
    </row>
    <row r="504" spans="1:13" s="88" customFormat="1" ht="16.5" customHeight="1">
      <c r="A504" s="496" t="s">
        <v>1220</v>
      </c>
      <c r="B504" s="496"/>
      <c r="C504" s="493" t="s">
        <v>4469</v>
      </c>
      <c r="D504" s="493"/>
      <c r="E504" s="493"/>
      <c r="F504" s="493"/>
      <c r="G504" s="493"/>
      <c r="H504" s="493"/>
      <c r="I504" s="493"/>
      <c r="J504" s="493"/>
      <c r="K504" s="493"/>
      <c r="L504" s="493"/>
      <c r="M504" s="493"/>
    </row>
    <row r="505" spans="1:13" s="88" customFormat="1" ht="16.5" customHeight="1">
      <c r="A505" s="496" t="s">
        <v>5785</v>
      </c>
      <c r="B505" s="496"/>
      <c r="C505" s="493" t="s">
        <v>4470</v>
      </c>
      <c r="D505" s="493"/>
      <c r="E505" s="493"/>
      <c r="F505" s="493"/>
      <c r="G505" s="493"/>
      <c r="H505" s="493"/>
      <c r="I505" s="493"/>
      <c r="J505" s="493"/>
      <c r="K505" s="493"/>
      <c r="L505" s="493"/>
      <c r="M505" s="493"/>
    </row>
    <row r="506" spans="1:13" s="88" customFormat="1" ht="16.5" customHeight="1">
      <c r="A506" s="89" t="s">
        <v>1223</v>
      </c>
      <c r="B506" s="92" t="s">
        <v>4399</v>
      </c>
      <c r="C506" s="493" t="s">
        <v>4471</v>
      </c>
      <c r="D506" s="493"/>
      <c r="E506" s="493"/>
      <c r="F506" s="493"/>
      <c r="G506" s="493"/>
      <c r="H506" s="493"/>
      <c r="I506" s="493"/>
      <c r="J506" s="493"/>
      <c r="K506" s="493"/>
      <c r="L506" s="493"/>
      <c r="M506" s="493"/>
    </row>
    <row r="507" spans="1:13" s="88" customFormat="1" ht="16.5" customHeight="1">
      <c r="A507" s="89"/>
      <c r="B507" s="92" t="s">
        <v>4424</v>
      </c>
      <c r="C507" s="493" t="s">
        <v>4472</v>
      </c>
      <c r="D507" s="493"/>
      <c r="E507" s="493"/>
      <c r="F507" s="493"/>
      <c r="G507" s="493"/>
      <c r="H507" s="493"/>
      <c r="I507" s="493"/>
      <c r="J507" s="493"/>
      <c r="K507" s="493"/>
      <c r="L507" s="493"/>
      <c r="M507" s="493"/>
    </row>
    <row r="508" spans="1:13" s="88" customFormat="1" ht="16.5" customHeight="1">
      <c r="A508" s="89"/>
      <c r="B508" s="92" t="s">
        <v>4401</v>
      </c>
      <c r="C508" s="493" t="s">
        <v>4473</v>
      </c>
      <c r="D508" s="493"/>
      <c r="E508" s="493"/>
      <c r="F508" s="493"/>
      <c r="G508" s="493"/>
      <c r="H508" s="493"/>
      <c r="I508" s="493"/>
      <c r="J508" s="493"/>
      <c r="K508" s="493"/>
      <c r="L508" s="493"/>
      <c r="M508" s="493"/>
    </row>
    <row r="509" spans="1:13" s="88" customFormat="1" ht="16.5" customHeight="1">
      <c r="A509" s="89"/>
      <c r="B509" s="90" t="s">
        <v>4403</v>
      </c>
      <c r="C509" s="493" t="s">
        <v>4474</v>
      </c>
      <c r="D509" s="493"/>
      <c r="E509" s="493"/>
      <c r="F509" s="493"/>
      <c r="G509" s="493"/>
      <c r="H509" s="493"/>
      <c r="I509" s="493"/>
      <c r="J509" s="493"/>
      <c r="K509" s="493"/>
      <c r="L509" s="493"/>
      <c r="M509" s="493"/>
    </row>
    <row r="510" spans="1:13" s="88" customFormat="1" ht="16.5" customHeight="1">
      <c r="A510" s="89" t="s">
        <v>1228</v>
      </c>
      <c r="B510" s="493"/>
      <c r="C510" s="493"/>
      <c r="D510" s="493"/>
      <c r="E510" s="493"/>
      <c r="F510" s="493"/>
      <c r="G510" s="493"/>
      <c r="H510" s="493"/>
      <c r="I510" s="493"/>
      <c r="J510" s="493"/>
      <c r="K510" s="493"/>
      <c r="L510" s="493"/>
      <c r="M510" s="493"/>
    </row>
    <row r="511" spans="1:13" ht="48.75" customHeight="1">
      <c r="A511" s="89" t="s">
        <v>1229</v>
      </c>
      <c r="B511" s="673" t="s">
        <v>4475</v>
      </c>
      <c r="C511" s="673"/>
      <c r="D511" s="673"/>
      <c r="E511" s="673"/>
      <c r="F511" s="673"/>
      <c r="G511" s="673"/>
      <c r="H511" s="673"/>
      <c r="I511" s="673"/>
      <c r="J511" s="673"/>
      <c r="K511" s="673"/>
      <c r="L511" s="673"/>
      <c r="M511" s="673"/>
    </row>
    <row r="512" spans="1:13" ht="21" customHeight="1">
      <c r="B512" s="494" t="s">
        <v>2863</v>
      </c>
      <c r="C512" s="494"/>
      <c r="D512" s="494"/>
      <c r="E512" s="494"/>
      <c r="F512" s="494"/>
      <c r="G512" s="494"/>
      <c r="H512" s="494"/>
      <c r="I512" s="494"/>
      <c r="J512" s="494"/>
      <c r="K512" s="494"/>
      <c r="L512" s="495"/>
    </row>
    <row r="513" spans="1:7" s="93" customFormat="1" ht="16.5" customHeight="1"/>
    <row r="514" spans="1:7" s="93" customFormat="1" ht="16.5" customHeight="1">
      <c r="A514" s="94" t="s">
        <v>1232</v>
      </c>
      <c r="B514" s="93" t="s">
        <v>1773</v>
      </c>
      <c r="F514" s="93" t="s">
        <v>3592</v>
      </c>
    </row>
    <row r="515" spans="1:7" ht="16.5" customHeight="1">
      <c r="F515" s="93"/>
    </row>
    <row r="516" spans="1:7" ht="16.5" customHeight="1">
      <c r="F516" s="93" t="s">
        <v>3592</v>
      </c>
    </row>
    <row r="517" spans="1:7" ht="16.5" customHeight="1">
      <c r="B517" s="518" t="s">
        <v>4459</v>
      </c>
      <c r="C517" s="518"/>
      <c r="D517" s="518"/>
      <c r="E517" s="518"/>
      <c r="F517" s="518"/>
      <c r="G517" s="93"/>
    </row>
    <row r="518" spans="1:7" ht="16.5" customHeight="1">
      <c r="B518" s="94" t="s">
        <v>4415</v>
      </c>
      <c r="C518" s="94" t="s">
        <v>4430</v>
      </c>
      <c r="D518" s="94" t="s">
        <v>4416</v>
      </c>
      <c r="E518" s="94" t="s">
        <v>4431</v>
      </c>
      <c r="F518" s="94" t="s">
        <v>4460</v>
      </c>
      <c r="G518" s="104" t="s">
        <v>1238</v>
      </c>
    </row>
    <row r="519" spans="1:7" ht="16.5" customHeight="1">
      <c r="B519" s="160">
        <v>0.05</v>
      </c>
      <c r="C519" s="93">
        <v>0</v>
      </c>
      <c r="D519" s="93">
        <v>1</v>
      </c>
      <c r="E519" s="93">
        <v>200000</v>
      </c>
      <c r="F519" s="174">
        <f>ISPMT(B519/12,C519,D519*12,E519)</f>
        <v>-833.33333333333337</v>
      </c>
      <c r="G519" s="108" t="s">
        <v>4476</v>
      </c>
    </row>
    <row r="520" spans="1:7">
      <c r="F520" s="93"/>
    </row>
    <row r="521" spans="1:7">
      <c r="F521" s="93"/>
    </row>
    <row r="522" spans="1:7">
      <c r="F522" s="93"/>
    </row>
    <row r="523" spans="1:7">
      <c r="F523" s="93"/>
    </row>
    <row r="524" spans="1:7">
      <c r="F524" s="93"/>
    </row>
    <row r="525" spans="1:7">
      <c r="F525" s="93"/>
    </row>
    <row r="526" spans="1:7">
      <c r="F526" s="93"/>
    </row>
    <row r="600" spans="1:13" s="88" customFormat="1" ht="26.25" customHeight="1">
      <c r="A600" s="498" t="s">
        <v>1090</v>
      </c>
      <c r="B600" s="498"/>
      <c r="C600" s="499"/>
      <c r="D600" s="87"/>
      <c r="E600" s="500" t="str">
        <f>HYPERLINK("#目录!A349","跳转回到目录页")</f>
        <v>跳转回到目录页</v>
      </c>
      <c r="F600" s="501"/>
    </row>
    <row r="601" spans="1:13" s="88" customFormat="1" ht="26.25" customHeight="1">
      <c r="A601" s="502" t="s">
        <v>1216</v>
      </c>
      <c r="B601" s="502"/>
      <c r="C601" s="503" t="s">
        <v>553</v>
      </c>
      <c r="D601" s="503"/>
      <c r="E601" s="503"/>
      <c r="F601" s="503"/>
      <c r="G601" s="503"/>
      <c r="H601" s="503"/>
      <c r="I601" s="503"/>
      <c r="J601" s="503"/>
      <c r="K601" s="503"/>
      <c r="L601" s="503"/>
      <c r="M601" s="503"/>
    </row>
    <row r="602" spans="1:13" s="88" customFormat="1" ht="16.5" customHeight="1">
      <c r="A602" s="496" t="s">
        <v>1217</v>
      </c>
      <c r="B602" s="496"/>
      <c r="C602" s="493" t="s">
        <v>4477</v>
      </c>
      <c r="D602" s="493"/>
      <c r="E602" s="493"/>
      <c r="F602" s="493"/>
      <c r="G602" s="493"/>
      <c r="H602" s="493"/>
      <c r="I602" s="493"/>
      <c r="J602" s="493"/>
      <c r="K602" s="493"/>
      <c r="L602" s="493"/>
      <c r="M602" s="493"/>
    </row>
    <row r="603" spans="1:13" s="88" customFormat="1" ht="16.5" customHeight="1">
      <c r="A603" s="496" t="s">
        <v>5786</v>
      </c>
      <c r="B603" s="496"/>
      <c r="C603" s="497" t="s">
        <v>553</v>
      </c>
      <c r="D603" s="497"/>
      <c r="E603" s="497"/>
      <c r="F603" s="497"/>
      <c r="G603" s="497"/>
      <c r="H603" s="497"/>
      <c r="I603" s="497"/>
      <c r="J603" s="497"/>
      <c r="K603" s="497"/>
      <c r="L603" s="497"/>
      <c r="M603" s="497"/>
    </row>
    <row r="604" spans="1:13" s="88" customFormat="1" ht="16.5" customHeight="1">
      <c r="A604" s="496" t="s">
        <v>1220</v>
      </c>
      <c r="B604" s="496"/>
      <c r="C604" s="493" t="s">
        <v>4478</v>
      </c>
      <c r="D604" s="493"/>
      <c r="E604" s="493"/>
      <c r="F604" s="493"/>
      <c r="G604" s="493"/>
      <c r="H604" s="493"/>
      <c r="I604" s="493"/>
      <c r="J604" s="493"/>
      <c r="K604" s="493"/>
      <c r="L604" s="493"/>
      <c r="M604" s="493"/>
    </row>
    <row r="605" spans="1:13" s="88" customFormat="1" ht="16.5" customHeight="1">
      <c r="A605" s="496" t="s">
        <v>5785</v>
      </c>
      <c r="B605" s="496"/>
      <c r="C605" s="493" t="s">
        <v>4479</v>
      </c>
      <c r="D605" s="493"/>
      <c r="E605" s="493"/>
      <c r="F605" s="493"/>
      <c r="G605" s="493"/>
      <c r="H605" s="493"/>
      <c r="I605" s="493"/>
      <c r="J605" s="493"/>
      <c r="K605" s="493"/>
      <c r="L605" s="493"/>
      <c r="M605" s="493"/>
    </row>
    <row r="606" spans="1:13" s="88" customFormat="1" ht="24.75" customHeight="1">
      <c r="A606" s="89" t="s">
        <v>1223</v>
      </c>
      <c r="B606" s="92" t="s">
        <v>4399</v>
      </c>
      <c r="C606" s="493" t="s">
        <v>4480</v>
      </c>
      <c r="D606" s="493"/>
      <c r="E606" s="493"/>
      <c r="F606" s="493"/>
      <c r="G606" s="493"/>
      <c r="H606" s="493"/>
      <c r="I606" s="493"/>
      <c r="J606" s="493"/>
      <c r="K606" s="493"/>
      <c r="L606" s="493"/>
      <c r="M606" s="493"/>
    </row>
    <row r="607" spans="1:13" s="88" customFormat="1" ht="24.75" customHeight="1">
      <c r="A607" s="89"/>
      <c r="B607" s="92" t="s">
        <v>4401</v>
      </c>
      <c r="C607" s="493" t="s">
        <v>4481</v>
      </c>
      <c r="D607" s="493"/>
      <c r="E607" s="493"/>
      <c r="F607" s="493"/>
      <c r="G607" s="493"/>
      <c r="H607" s="493"/>
      <c r="I607" s="493"/>
      <c r="J607" s="493"/>
      <c r="K607" s="493"/>
      <c r="L607" s="493"/>
      <c r="M607" s="493"/>
    </row>
    <row r="608" spans="1:13" s="88" customFormat="1" ht="24.75" customHeight="1">
      <c r="A608" s="89"/>
      <c r="B608" s="92" t="s">
        <v>4482</v>
      </c>
      <c r="C608" s="493" t="s">
        <v>4483</v>
      </c>
      <c r="D608" s="493"/>
      <c r="E608" s="493"/>
      <c r="F608" s="493"/>
      <c r="G608" s="493"/>
      <c r="H608" s="493"/>
      <c r="I608" s="493"/>
      <c r="J608" s="493"/>
      <c r="K608" s="493"/>
      <c r="L608" s="493"/>
      <c r="M608" s="493"/>
    </row>
    <row r="609" spans="1:13" s="88" customFormat="1" ht="24.75" customHeight="1">
      <c r="A609" s="89"/>
      <c r="B609" s="90" t="s">
        <v>4405</v>
      </c>
      <c r="C609" s="493" t="s">
        <v>4484</v>
      </c>
      <c r="D609" s="493"/>
      <c r="E609" s="493"/>
      <c r="F609" s="493"/>
      <c r="G609" s="493"/>
      <c r="H609" s="493"/>
      <c r="I609" s="493"/>
      <c r="J609" s="493"/>
      <c r="K609" s="493"/>
      <c r="L609" s="493"/>
      <c r="M609" s="493"/>
    </row>
    <row r="610" spans="1:13" s="88" customFormat="1" ht="16.5" customHeight="1">
      <c r="A610" s="89"/>
      <c r="B610" s="90" t="s">
        <v>4250</v>
      </c>
      <c r="C610" s="493" t="s">
        <v>4407</v>
      </c>
      <c r="D610" s="493"/>
      <c r="E610" s="493"/>
      <c r="F610" s="493"/>
      <c r="G610" s="493"/>
      <c r="H610" s="493"/>
      <c r="I610" s="493"/>
      <c r="J610" s="493"/>
      <c r="K610" s="493"/>
      <c r="L610" s="493"/>
      <c r="M610" s="493"/>
    </row>
    <row r="611" spans="1:13" s="88" customFormat="1" ht="16.5" customHeight="1">
      <c r="A611" s="89" t="s">
        <v>1228</v>
      </c>
      <c r="B611" s="493"/>
      <c r="C611" s="493"/>
      <c r="D611" s="493"/>
      <c r="E611" s="493"/>
      <c r="F611" s="493"/>
      <c r="G611" s="493"/>
      <c r="H611" s="493"/>
      <c r="I611" s="493"/>
      <c r="J611" s="493"/>
      <c r="K611" s="493"/>
      <c r="L611" s="493"/>
      <c r="M611" s="493"/>
    </row>
    <row r="612" spans="1:13" ht="16.5" customHeight="1">
      <c r="A612" s="89" t="s">
        <v>1229</v>
      </c>
      <c r="B612" s="673"/>
      <c r="C612" s="673"/>
      <c r="D612" s="673"/>
      <c r="E612" s="673"/>
      <c r="F612" s="673"/>
      <c r="G612" s="673"/>
      <c r="H612" s="673"/>
      <c r="I612" s="673"/>
      <c r="J612" s="673"/>
      <c r="K612" s="673"/>
      <c r="L612" s="673"/>
      <c r="M612" s="673"/>
    </row>
    <row r="613" spans="1:13" ht="21" customHeight="1">
      <c r="B613" s="494" t="s">
        <v>2863</v>
      </c>
      <c r="C613" s="494"/>
      <c r="D613" s="494"/>
      <c r="E613" s="494"/>
      <c r="F613" s="494"/>
      <c r="G613" s="494"/>
      <c r="H613" s="494"/>
      <c r="I613" s="494"/>
      <c r="J613" s="494"/>
      <c r="K613" s="494"/>
      <c r="L613" s="495"/>
    </row>
    <row r="614" spans="1:13" s="93" customFormat="1" ht="16.5" customHeight="1"/>
    <row r="615" spans="1:13" s="93" customFormat="1" ht="16.5" customHeight="1">
      <c r="A615" s="94" t="s">
        <v>1232</v>
      </c>
      <c r="B615" s="93" t="s">
        <v>1773</v>
      </c>
      <c r="F615" s="93" t="s">
        <v>3592</v>
      </c>
    </row>
    <row r="616" spans="1:13" ht="16.5" customHeight="1"/>
    <row r="617" spans="1:13" ht="16.5" customHeight="1">
      <c r="B617" s="93"/>
      <c r="C617" s="93"/>
      <c r="D617" s="93"/>
      <c r="E617" s="93"/>
      <c r="F617" s="93"/>
      <c r="G617" s="93"/>
      <c r="H617" s="93"/>
    </row>
    <row r="618" spans="1:13" ht="16.5" customHeight="1">
      <c r="B618" s="518" t="s">
        <v>4485</v>
      </c>
      <c r="C618" s="518"/>
      <c r="D618" s="518"/>
      <c r="E618" s="518"/>
      <c r="F618" s="518"/>
      <c r="G618" s="93"/>
      <c r="H618" s="93"/>
    </row>
    <row r="619" spans="1:13" ht="16.5" customHeight="1">
      <c r="B619" s="94" t="s">
        <v>4415</v>
      </c>
      <c r="C619" s="94" t="s">
        <v>4416</v>
      </c>
      <c r="D619" s="94" t="s">
        <v>4486</v>
      </c>
      <c r="E619" s="518" t="s">
        <v>4487</v>
      </c>
      <c r="F619" s="518"/>
      <c r="G619" s="104" t="s">
        <v>1238</v>
      </c>
      <c r="H619" s="93"/>
    </row>
    <row r="620" spans="1:13" ht="16.5" customHeight="1">
      <c r="B620" s="160">
        <v>0.05</v>
      </c>
      <c r="C620" s="93">
        <v>5</v>
      </c>
      <c r="D620" s="93">
        <v>-50000</v>
      </c>
      <c r="E620" s="676">
        <f>PV(B620/12,C620*12,D620)</f>
        <v>2649535.3161963741</v>
      </c>
      <c r="F620" s="676"/>
      <c r="G620" s="108" t="s">
        <v>4488</v>
      </c>
      <c r="H620" s="93"/>
    </row>
    <row r="621" spans="1:13" ht="16.5" customHeight="1">
      <c r="B621" s="93"/>
      <c r="C621" s="93"/>
      <c r="D621" s="93"/>
      <c r="E621" s="93"/>
      <c r="F621" s="93"/>
      <c r="G621" s="93"/>
      <c r="H621" s="93"/>
    </row>
  </sheetData>
  <mergeCells count="153">
    <mergeCell ref="A1:C1"/>
    <mergeCell ref="E1:F1"/>
    <mergeCell ref="A2:B2"/>
    <mergeCell ref="C2:M2"/>
    <mergeCell ref="A3:B3"/>
    <mergeCell ref="C3:M3"/>
    <mergeCell ref="C7:M7"/>
    <mergeCell ref="C8:M8"/>
    <mergeCell ref="C9:M9"/>
    <mergeCell ref="C10:M10"/>
    <mergeCell ref="C11:M11"/>
    <mergeCell ref="B12:M12"/>
    <mergeCell ref="A4:B4"/>
    <mergeCell ref="C4:M4"/>
    <mergeCell ref="A5:B5"/>
    <mergeCell ref="C5:M5"/>
    <mergeCell ref="A6:B6"/>
    <mergeCell ref="C6:M6"/>
    <mergeCell ref="A101:B101"/>
    <mergeCell ref="C101:M101"/>
    <mergeCell ref="A102:B102"/>
    <mergeCell ref="C102:M102"/>
    <mergeCell ref="A103:B103"/>
    <mergeCell ref="C103:M103"/>
    <mergeCell ref="B13:M13"/>
    <mergeCell ref="B14:L14"/>
    <mergeCell ref="B22:F22"/>
    <mergeCell ref="E23:F23"/>
    <mergeCell ref="E24:F24"/>
    <mergeCell ref="A100:C100"/>
    <mergeCell ref="E100:F100"/>
    <mergeCell ref="C108:M108"/>
    <mergeCell ref="C109:M109"/>
    <mergeCell ref="C110:M110"/>
    <mergeCell ref="C111:M111"/>
    <mergeCell ref="B112:M112"/>
    <mergeCell ref="B113:M113"/>
    <mergeCell ref="A104:B104"/>
    <mergeCell ref="C104:M104"/>
    <mergeCell ref="A105:B105"/>
    <mergeCell ref="C105:M105"/>
    <mergeCell ref="C106:M106"/>
    <mergeCell ref="C107:M107"/>
    <mergeCell ref="A201:B201"/>
    <mergeCell ref="C201:M201"/>
    <mergeCell ref="A202:B202"/>
    <mergeCell ref="C202:M202"/>
    <mergeCell ref="A203:B203"/>
    <mergeCell ref="C203:M203"/>
    <mergeCell ref="B114:L114"/>
    <mergeCell ref="B122:E122"/>
    <mergeCell ref="F123:G123"/>
    <mergeCell ref="F124:G124"/>
    <mergeCell ref="A200:C200"/>
    <mergeCell ref="E200:F200"/>
    <mergeCell ref="C208:M208"/>
    <mergeCell ref="C209:M209"/>
    <mergeCell ref="C210:M210"/>
    <mergeCell ref="C211:M211"/>
    <mergeCell ref="B212:M212"/>
    <mergeCell ref="B213:M213"/>
    <mergeCell ref="A204:B204"/>
    <mergeCell ref="C204:M204"/>
    <mergeCell ref="A205:B205"/>
    <mergeCell ref="C205:M205"/>
    <mergeCell ref="C206:M206"/>
    <mergeCell ref="C207:M207"/>
    <mergeCell ref="A303:B303"/>
    <mergeCell ref="C303:M303"/>
    <mergeCell ref="A304:B304"/>
    <mergeCell ref="C304:M304"/>
    <mergeCell ref="A305:B305"/>
    <mergeCell ref="C305:M305"/>
    <mergeCell ref="B214:L214"/>
    <mergeCell ref="A300:C300"/>
    <mergeCell ref="E300:F300"/>
    <mergeCell ref="A301:B301"/>
    <mergeCell ref="C301:M301"/>
    <mergeCell ref="A302:B302"/>
    <mergeCell ref="C302:M302"/>
    <mergeCell ref="B312:M312"/>
    <mergeCell ref="B313:M313"/>
    <mergeCell ref="B314:L314"/>
    <mergeCell ref="B322:F322"/>
    <mergeCell ref="A400:C400"/>
    <mergeCell ref="E400:F400"/>
    <mergeCell ref="C306:M306"/>
    <mergeCell ref="C307:M307"/>
    <mergeCell ref="C308:M308"/>
    <mergeCell ref="C309:M309"/>
    <mergeCell ref="C310:M310"/>
    <mergeCell ref="C311:M311"/>
    <mergeCell ref="A404:B404"/>
    <mergeCell ref="C404:M404"/>
    <mergeCell ref="A405:B405"/>
    <mergeCell ref="C405:M405"/>
    <mergeCell ref="C406:M406"/>
    <mergeCell ref="C407:M407"/>
    <mergeCell ref="A401:B401"/>
    <mergeCell ref="C401:M401"/>
    <mergeCell ref="A402:B402"/>
    <mergeCell ref="C402:M402"/>
    <mergeCell ref="A403:B403"/>
    <mergeCell ref="C403:M403"/>
    <mergeCell ref="A500:C500"/>
    <mergeCell ref="E500:F500"/>
    <mergeCell ref="A501:B501"/>
    <mergeCell ref="C501:M501"/>
    <mergeCell ref="A502:B502"/>
    <mergeCell ref="C502:M502"/>
    <mergeCell ref="C408:M408"/>
    <mergeCell ref="C409:M409"/>
    <mergeCell ref="C410:M410"/>
    <mergeCell ref="B411:M411"/>
    <mergeCell ref="B412:L412"/>
    <mergeCell ref="B423:F423"/>
    <mergeCell ref="C506:M506"/>
    <mergeCell ref="C507:M507"/>
    <mergeCell ref="C508:M508"/>
    <mergeCell ref="C509:M509"/>
    <mergeCell ref="B510:M510"/>
    <mergeCell ref="B511:M511"/>
    <mergeCell ref="A503:B503"/>
    <mergeCell ref="C503:M503"/>
    <mergeCell ref="A504:B504"/>
    <mergeCell ref="C504:M504"/>
    <mergeCell ref="A505:B505"/>
    <mergeCell ref="C505:M505"/>
    <mergeCell ref="A602:B602"/>
    <mergeCell ref="C602:M602"/>
    <mergeCell ref="A603:B603"/>
    <mergeCell ref="C603:M603"/>
    <mergeCell ref="A604:B604"/>
    <mergeCell ref="C604:M604"/>
    <mergeCell ref="B512:L512"/>
    <mergeCell ref="B517:F517"/>
    <mergeCell ref="A600:C600"/>
    <mergeCell ref="E600:F600"/>
    <mergeCell ref="A601:B601"/>
    <mergeCell ref="C601:M601"/>
    <mergeCell ref="E620:F620"/>
    <mergeCell ref="C610:M610"/>
    <mergeCell ref="B611:M611"/>
    <mergeCell ref="B612:M612"/>
    <mergeCell ref="B613:L613"/>
    <mergeCell ref="B618:F618"/>
    <mergeCell ref="E619:F619"/>
    <mergeCell ref="A605:B605"/>
    <mergeCell ref="C605:M605"/>
    <mergeCell ref="C606:M606"/>
    <mergeCell ref="C607:M607"/>
    <mergeCell ref="C608:M608"/>
    <mergeCell ref="C609:M609"/>
  </mergeCells>
  <phoneticPr fontId="2" type="noConversion"/>
  <pageMargins left="0.75" right="0.75" top="1" bottom="1" header="0.5" footer="0.5"/>
  <pageSetup paperSize="9" orientation="portrait" horizontalDpi="0" verticalDpi="0"/>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213"/>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84</v>
      </c>
      <c r="B1" s="498"/>
      <c r="C1" s="499"/>
      <c r="D1" s="87"/>
      <c r="E1" s="500" t="str">
        <f>HYPERLINK("#目录!A50","跳转回到目录页")</f>
        <v>跳转回到目录页</v>
      </c>
      <c r="F1" s="501"/>
    </row>
    <row r="2" spans="1:13" s="88" customFormat="1" ht="26.25" customHeight="1">
      <c r="A2" s="502" t="s">
        <v>1216</v>
      </c>
      <c r="B2" s="502"/>
      <c r="C2" s="503" t="s">
        <v>85</v>
      </c>
      <c r="D2" s="503"/>
      <c r="E2" s="503"/>
      <c r="F2" s="503"/>
      <c r="G2" s="503"/>
      <c r="H2" s="503"/>
      <c r="I2" s="503"/>
      <c r="J2" s="503"/>
      <c r="K2" s="503"/>
      <c r="L2" s="503"/>
      <c r="M2" s="503"/>
    </row>
    <row r="3" spans="1:13" s="88" customFormat="1" ht="16.5" customHeight="1">
      <c r="A3" s="496" t="s">
        <v>1217</v>
      </c>
      <c r="B3" s="496"/>
      <c r="C3" s="493" t="s">
        <v>1552</v>
      </c>
      <c r="D3" s="493"/>
      <c r="E3" s="493"/>
      <c r="F3" s="493"/>
      <c r="G3" s="493"/>
      <c r="H3" s="493"/>
      <c r="I3" s="493"/>
      <c r="J3" s="493"/>
      <c r="K3" s="493"/>
      <c r="L3" s="493"/>
      <c r="M3" s="493"/>
    </row>
    <row r="4" spans="1:13" s="88" customFormat="1" ht="16.5" customHeight="1">
      <c r="A4" s="496" t="s">
        <v>5786</v>
      </c>
      <c r="B4" s="496"/>
      <c r="C4" s="497" t="s">
        <v>1553</v>
      </c>
      <c r="D4" s="497"/>
      <c r="E4" s="497"/>
      <c r="F4" s="497"/>
      <c r="G4" s="497"/>
      <c r="H4" s="497"/>
      <c r="I4" s="497"/>
      <c r="J4" s="497"/>
      <c r="K4" s="497"/>
      <c r="L4" s="497"/>
      <c r="M4" s="497"/>
    </row>
    <row r="5" spans="1:13" s="88" customFormat="1" ht="16.5" customHeight="1">
      <c r="A5" s="496" t="s">
        <v>1220</v>
      </c>
      <c r="B5" s="496"/>
      <c r="C5" s="493" t="s">
        <v>1554</v>
      </c>
      <c r="D5" s="493"/>
      <c r="E5" s="493"/>
      <c r="F5" s="493"/>
      <c r="G5" s="493"/>
      <c r="H5" s="493"/>
      <c r="I5" s="493"/>
      <c r="J5" s="493"/>
      <c r="K5" s="493"/>
      <c r="L5" s="493"/>
      <c r="M5" s="493"/>
    </row>
    <row r="6" spans="1:13" s="88" customFormat="1" ht="16.5" customHeight="1">
      <c r="A6" s="496" t="s">
        <v>5785</v>
      </c>
      <c r="B6" s="496"/>
      <c r="C6" s="493" t="s">
        <v>1555</v>
      </c>
      <c r="D6" s="493"/>
      <c r="E6" s="493"/>
      <c r="F6" s="493"/>
      <c r="G6" s="493"/>
      <c r="H6" s="493"/>
      <c r="I6" s="493"/>
      <c r="J6" s="493"/>
      <c r="K6" s="493"/>
      <c r="L6" s="493"/>
      <c r="M6" s="493"/>
    </row>
    <row r="7" spans="1:13" s="88" customFormat="1" ht="24.75" customHeight="1">
      <c r="A7" s="89" t="s">
        <v>1223</v>
      </c>
      <c r="B7" s="92" t="s">
        <v>1508</v>
      </c>
      <c r="C7" s="493" t="s">
        <v>1556</v>
      </c>
      <c r="D7" s="493"/>
      <c r="E7" s="493"/>
      <c r="F7" s="493"/>
      <c r="G7" s="493"/>
      <c r="H7" s="493"/>
      <c r="I7" s="493"/>
      <c r="J7" s="493"/>
      <c r="K7" s="493"/>
      <c r="L7" s="493"/>
      <c r="M7" s="493"/>
    </row>
    <row r="8" spans="1:13" s="88" customFormat="1" ht="16.5" customHeight="1">
      <c r="A8" s="89" t="s">
        <v>1228</v>
      </c>
      <c r="B8" s="493"/>
      <c r="C8" s="493"/>
      <c r="D8" s="493"/>
      <c r="E8" s="493"/>
      <c r="F8" s="493"/>
      <c r="G8" s="493"/>
      <c r="H8" s="493"/>
      <c r="I8" s="493"/>
      <c r="J8" s="493"/>
      <c r="K8" s="493"/>
      <c r="L8" s="493"/>
      <c r="M8" s="493"/>
    </row>
    <row r="9" spans="1:13" ht="16.5" customHeight="1">
      <c r="A9" s="89" t="s">
        <v>1229</v>
      </c>
      <c r="B9" s="493" t="s">
        <v>1557</v>
      </c>
      <c r="C9" s="493"/>
      <c r="D9" s="493"/>
      <c r="E9" s="493"/>
      <c r="F9" s="493"/>
      <c r="G9" s="493"/>
      <c r="H9" s="493"/>
      <c r="I9" s="493"/>
      <c r="J9" s="493"/>
      <c r="K9" s="493"/>
      <c r="L9" s="493"/>
      <c r="M9" s="493"/>
    </row>
    <row r="10" spans="1:13" ht="21" customHeight="1">
      <c r="B10" s="494" t="s">
        <v>1231</v>
      </c>
      <c r="C10" s="494"/>
      <c r="D10" s="494"/>
      <c r="E10" s="494"/>
      <c r="F10" s="494"/>
      <c r="G10" s="494"/>
      <c r="H10" s="494"/>
      <c r="I10" s="494"/>
      <c r="J10" s="494"/>
      <c r="K10" s="494"/>
      <c r="L10" s="495"/>
    </row>
    <row r="11" spans="1:13" s="93" customFormat="1" ht="16.5" customHeight="1"/>
    <row r="12" spans="1:13" s="93" customFormat="1" ht="16.5" customHeight="1">
      <c r="A12" s="94" t="s">
        <v>1232</v>
      </c>
      <c r="B12" s="93" t="s">
        <v>1295</v>
      </c>
    </row>
    <row r="13" spans="1:13" s="93" customFormat="1" ht="16.5" customHeight="1">
      <c r="D13" s="104" t="s">
        <v>1238</v>
      </c>
    </row>
    <row r="14" spans="1:13" s="93" customFormat="1" ht="16.5" customHeight="1">
      <c r="B14" s="357">
        <v>0.92057870370370365</v>
      </c>
      <c r="C14" s="93">
        <f>HOUR(B14)</f>
        <v>22</v>
      </c>
      <c r="D14" s="108" t="s">
        <v>1558</v>
      </c>
      <c r="E14" s="94"/>
      <c r="F14" s="94"/>
    </row>
    <row r="15" spans="1:13" s="93" customFormat="1" ht="16.5" customHeight="1">
      <c r="C15" s="148"/>
      <c r="E15" s="148"/>
    </row>
    <row r="16" spans="1:13" s="93" customFormat="1" ht="16.5" customHeight="1">
      <c r="C16" s="148"/>
      <c r="E16" s="323"/>
      <c r="F16" s="288"/>
    </row>
    <row r="17" spans="1:6" s="93" customFormat="1" ht="16.5" customHeight="1">
      <c r="C17" s="148"/>
      <c r="E17" s="148"/>
    </row>
    <row r="18" spans="1:6" s="93" customFormat="1" ht="16.5" customHeight="1"/>
    <row r="19" spans="1:6" s="93" customFormat="1" ht="16.5" customHeight="1"/>
    <row r="20" spans="1:6" s="93" customFormat="1" ht="16.5" customHeight="1"/>
    <row r="21" spans="1:6" s="93" customFormat="1" ht="16.5" customHeight="1">
      <c r="A21" s="94"/>
    </row>
    <row r="22" spans="1:6" s="93" customFormat="1" ht="16.5" customHeight="1"/>
    <row r="23" spans="1:6" s="93" customFormat="1" ht="16.5" customHeight="1">
      <c r="B23" s="94"/>
      <c r="C23" s="311"/>
      <c r="D23" s="311"/>
      <c r="E23" s="311"/>
      <c r="F23" s="94"/>
    </row>
    <row r="24" spans="1:6" s="93" customFormat="1" ht="16.5" customHeight="1">
      <c r="C24" s="148"/>
      <c r="E24" s="148"/>
    </row>
    <row r="25" spans="1:6" s="93" customFormat="1" ht="16.5" customHeight="1">
      <c r="C25" s="148"/>
      <c r="E25" s="148"/>
    </row>
    <row r="26" spans="1:6" s="93" customFormat="1" ht="16.5" customHeight="1">
      <c r="C26" s="148"/>
      <c r="E26" s="148"/>
    </row>
    <row r="27" spans="1:6" s="93" customFormat="1" ht="16.5" customHeight="1"/>
    <row r="28" spans="1:6" s="93" customFormat="1" ht="16.5" customHeight="1"/>
    <row r="29" spans="1:6" s="93" customFormat="1" ht="12" customHeight="1"/>
    <row r="30" spans="1:6" s="93" customFormat="1" ht="12" customHeight="1"/>
    <row r="31" spans="1:6" s="93" customFormat="1" ht="12" customHeight="1"/>
    <row r="32" spans="1:6" s="93" customFormat="1" ht="12" customHeight="1"/>
    <row r="33" s="93" customFormat="1" ht="12" customHeight="1"/>
    <row r="34" s="93" customFormat="1" ht="12" customHeight="1"/>
    <row r="35" s="93" customFormat="1" ht="12" customHeight="1"/>
    <row r="36" s="93" customFormat="1" ht="12" customHeight="1"/>
    <row r="37" s="93" customFormat="1" ht="12" customHeight="1"/>
    <row r="38" s="93" customFormat="1" ht="12" customHeight="1"/>
    <row r="39" s="93" customFormat="1" ht="12" customHeight="1"/>
    <row r="40" s="93" customFormat="1" ht="12" customHeight="1"/>
    <row r="41" s="93" customFormat="1" ht="12" customHeight="1"/>
    <row r="42" s="93" customFormat="1" ht="12" customHeight="1"/>
    <row r="43" s="93" customFormat="1" ht="12" customHeight="1"/>
    <row r="44" s="93" customFormat="1" ht="12" customHeight="1"/>
    <row r="45" s="93" customFormat="1" ht="12" customHeight="1"/>
    <row r="46" s="93" customFormat="1" ht="12" customHeight="1"/>
    <row r="47" s="93" customFormat="1" ht="12" customHeight="1"/>
    <row r="48" s="93" customFormat="1" ht="12" customHeight="1"/>
    <row r="49" s="93" customFormat="1" ht="12" customHeight="1"/>
    <row r="50" s="93" customFormat="1" ht="12" customHeight="1"/>
    <row r="51" s="93" customFormat="1" ht="12" customHeight="1"/>
    <row r="52" s="93" customFormat="1" ht="12" customHeight="1"/>
    <row r="53" s="93" customFormat="1" ht="12" customHeight="1"/>
    <row r="54" s="93" customFormat="1" ht="12" customHeight="1"/>
    <row r="55" s="93" customFormat="1" ht="12" customHeight="1"/>
    <row r="56" s="93" customFormat="1" ht="12" customHeight="1"/>
    <row r="57" s="93" customFormat="1" ht="12" customHeight="1"/>
    <row r="58" s="93" customFormat="1" ht="12" customHeight="1"/>
    <row r="59" s="93" customFormat="1" ht="12" customHeight="1"/>
    <row r="60" s="93" customFormat="1" ht="12" customHeight="1"/>
    <row r="61" s="93" customFormat="1" ht="12" customHeight="1"/>
    <row r="62" s="93" customFormat="1" ht="12" customHeight="1"/>
    <row r="63" s="93" customFormat="1" ht="12" customHeight="1"/>
    <row r="64" s="93" customFormat="1" ht="12" customHeight="1"/>
    <row r="65" spans="1:6" s="93" customFormat="1" ht="12" customHeight="1"/>
    <row r="66" spans="1:6" s="93" customFormat="1" ht="12" customHeight="1"/>
    <row r="67" spans="1:6" s="93" customFormat="1" ht="12" customHeight="1"/>
    <row r="68" spans="1:6" s="93" customFormat="1" ht="12" customHeight="1"/>
    <row r="69" spans="1:6" s="93" customFormat="1" ht="12" customHeight="1"/>
    <row r="70" spans="1:6" s="93" customFormat="1" ht="12" customHeight="1"/>
    <row r="71" spans="1:6" s="93" customFormat="1" ht="12" customHeight="1"/>
    <row r="72" spans="1:6" s="93" customFormat="1" ht="12" customHeight="1"/>
    <row r="73" spans="1:6" s="93" customFormat="1" ht="12" customHeight="1"/>
    <row r="74" spans="1:6" s="93" customFormat="1" ht="12" customHeight="1">
      <c r="A74" s="94"/>
    </row>
    <row r="75" spans="1:6" s="93" customFormat="1" ht="12" customHeight="1"/>
    <row r="76" spans="1:6" s="93" customFormat="1" ht="12" customHeight="1">
      <c r="B76" s="94"/>
      <c r="C76" s="311"/>
      <c r="D76" s="311"/>
      <c r="E76" s="311"/>
      <c r="F76" s="94"/>
    </row>
    <row r="77" spans="1:6" s="93" customFormat="1" ht="12" customHeight="1">
      <c r="B77" s="94"/>
      <c r="C77" s="311"/>
      <c r="D77" s="311"/>
      <c r="E77" s="311"/>
      <c r="F77" s="94"/>
    </row>
    <row r="78" spans="1:6" s="93" customFormat="1" ht="12" customHeight="1">
      <c r="B78" s="94"/>
      <c r="C78" s="311"/>
      <c r="D78" s="311"/>
      <c r="E78" s="311"/>
      <c r="F78" s="94"/>
    </row>
    <row r="79" spans="1:6" s="93" customFormat="1" ht="12" customHeight="1">
      <c r="B79" s="94"/>
      <c r="C79" s="311"/>
      <c r="D79" s="311"/>
      <c r="E79" s="311"/>
      <c r="F79" s="94"/>
    </row>
    <row r="80" spans="1:6" s="93" customFormat="1" ht="12" customHeight="1">
      <c r="B80" s="94"/>
      <c r="C80" s="311"/>
      <c r="D80" s="311"/>
      <c r="E80" s="311"/>
      <c r="F80" s="94"/>
    </row>
    <row r="81" spans="2:8" s="93" customFormat="1" ht="12" customHeight="1">
      <c r="B81" s="94"/>
      <c r="C81" s="311"/>
      <c r="D81" s="311"/>
      <c r="E81" s="311"/>
      <c r="F81" s="94"/>
    </row>
    <row r="82" spans="2:8" s="93" customFormat="1" ht="12" customHeight="1">
      <c r="B82" s="94"/>
      <c r="C82" s="311"/>
      <c r="D82" s="311"/>
      <c r="E82" s="311"/>
      <c r="F82" s="94"/>
    </row>
    <row r="83" spans="2:8" s="93" customFormat="1" ht="12" customHeight="1">
      <c r="B83" s="94"/>
      <c r="C83" s="311"/>
      <c r="D83" s="311"/>
      <c r="E83" s="311"/>
      <c r="F83" s="94"/>
    </row>
    <row r="84" spans="2:8" s="93" customFormat="1" ht="12" customHeight="1">
      <c r="B84" s="94"/>
      <c r="C84" s="311"/>
      <c r="D84" s="311"/>
      <c r="E84" s="311"/>
      <c r="F84" s="94"/>
    </row>
    <row r="85" spans="2:8" s="93" customFormat="1" ht="12" customHeight="1">
      <c r="B85" s="94"/>
      <c r="C85" s="311"/>
      <c r="D85" s="311"/>
      <c r="E85" s="311"/>
      <c r="F85" s="94"/>
    </row>
    <row r="86" spans="2:8" s="93" customFormat="1" ht="12" customHeight="1">
      <c r="B86" s="94"/>
      <c r="C86" s="311"/>
      <c r="D86" s="311"/>
      <c r="E86" s="311"/>
      <c r="F86" s="94"/>
    </row>
    <row r="87" spans="2:8" s="93" customFormat="1" ht="12" customHeight="1">
      <c r="B87" s="94"/>
      <c r="C87" s="311"/>
      <c r="D87" s="311"/>
      <c r="E87" s="311"/>
      <c r="F87" s="94"/>
    </row>
    <row r="88" spans="2:8" s="93" customFormat="1" ht="12" customHeight="1">
      <c r="B88" s="94"/>
      <c r="C88" s="311"/>
      <c r="D88" s="311"/>
      <c r="E88" s="311"/>
      <c r="F88" s="94"/>
    </row>
    <row r="89" spans="2:8" s="93" customFormat="1" ht="12" customHeight="1">
      <c r="C89" s="312"/>
      <c r="E89" s="312"/>
      <c r="F89" s="94"/>
      <c r="H89" s="319"/>
    </row>
    <row r="90" spans="2:8" s="93" customFormat="1" ht="12" customHeight="1">
      <c r="C90" s="312"/>
      <c r="E90" s="312"/>
      <c r="F90" s="94"/>
    </row>
    <row r="91" spans="2:8" s="93" customFormat="1" ht="12" customHeight="1">
      <c r="C91" s="312"/>
      <c r="E91" s="312"/>
      <c r="F91" s="94"/>
    </row>
    <row r="92" spans="2:8" s="93" customFormat="1" ht="12" customHeight="1"/>
    <row r="93" spans="2:8" s="93" customFormat="1" ht="12" customHeight="1">
      <c r="C93" s="312"/>
    </row>
    <row r="94" spans="2:8" s="93" customFormat="1" ht="12" customHeight="1"/>
    <row r="95" spans="2:8" s="93" customFormat="1" ht="12" customHeight="1"/>
    <row r="96" spans="2:8" s="93" customFormat="1" ht="12" customHeight="1"/>
    <row r="97" spans="1:13" s="93" customFormat="1" ht="12" customHeight="1">
      <c r="B97" s="94"/>
    </row>
    <row r="98" spans="1:13" s="93" customFormat="1" ht="12" customHeight="1">
      <c r="B98" s="94"/>
    </row>
    <row r="99" spans="1:13" s="93" customFormat="1" ht="12" customHeight="1"/>
    <row r="100" spans="1:13" s="88" customFormat="1" ht="26.25" customHeight="1">
      <c r="A100" s="498" t="s">
        <v>86</v>
      </c>
      <c r="B100" s="498"/>
      <c r="C100" s="499"/>
      <c r="D100" s="87"/>
      <c r="E100" s="500" t="str">
        <f>HYPERLINK("#目录!A51","跳转回到目录页")</f>
        <v>跳转回到目录页</v>
      </c>
      <c r="F100" s="501"/>
    </row>
    <row r="101" spans="1:13" s="88" customFormat="1" ht="26.25" customHeight="1">
      <c r="A101" s="502" t="s">
        <v>1216</v>
      </c>
      <c r="B101" s="502"/>
      <c r="C101" s="503" t="s">
        <v>87</v>
      </c>
      <c r="D101" s="503"/>
      <c r="E101" s="503"/>
      <c r="F101" s="503"/>
      <c r="G101" s="503"/>
      <c r="H101" s="503"/>
      <c r="I101" s="503"/>
      <c r="J101" s="503"/>
      <c r="K101" s="503"/>
      <c r="L101" s="503"/>
      <c r="M101" s="503"/>
    </row>
    <row r="102" spans="1:13" s="88" customFormat="1" ht="16.5" customHeight="1">
      <c r="A102" s="496" t="s">
        <v>1217</v>
      </c>
      <c r="B102" s="496"/>
      <c r="C102" s="493" t="s">
        <v>1559</v>
      </c>
      <c r="D102" s="493"/>
      <c r="E102" s="493"/>
      <c r="F102" s="493"/>
      <c r="G102" s="493"/>
      <c r="H102" s="493"/>
      <c r="I102" s="493"/>
      <c r="J102" s="493"/>
      <c r="K102" s="493"/>
      <c r="L102" s="493"/>
      <c r="M102" s="493"/>
    </row>
    <row r="103" spans="1:13" s="88" customFormat="1" ht="16.5" customHeight="1">
      <c r="A103" s="496" t="s">
        <v>5786</v>
      </c>
      <c r="B103" s="496"/>
      <c r="C103" s="497" t="s">
        <v>1560</v>
      </c>
      <c r="D103" s="497"/>
      <c r="E103" s="497"/>
      <c r="F103" s="497"/>
      <c r="G103" s="497"/>
      <c r="H103" s="497"/>
      <c r="I103" s="497"/>
      <c r="J103" s="497"/>
      <c r="K103" s="497"/>
      <c r="L103" s="497"/>
      <c r="M103" s="497"/>
    </row>
    <row r="104" spans="1:13" s="88" customFormat="1" ht="16.5" customHeight="1">
      <c r="A104" s="496" t="s">
        <v>1220</v>
      </c>
      <c r="B104" s="496"/>
      <c r="C104" s="493" t="s">
        <v>1561</v>
      </c>
      <c r="D104" s="493"/>
      <c r="E104" s="493"/>
      <c r="F104" s="493"/>
      <c r="G104" s="493"/>
      <c r="H104" s="493"/>
      <c r="I104" s="493"/>
      <c r="J104" s="493"/>
      <c r="K104" s="493"/>
      <c r="L104" s="493"/>
      <c r="M104" s="493"/>
    </row>
    <row r="105" spans="1:13" s="88" customFormat="1" ht="16.5" customHeight="1">
      <c r="A105" s="496" t="s">
        <v>5785</v>
      </c>
      <c r="B105" s="496"/>
      <c r="C105" s="493" t="s">
        <v>1562</v>
      </c>
      <c r="D105" s="493"/>
      <c r="E105" s="493"/>
      <c r="F105" s="493"/>
      <c r="G105" s="493"/>
      <c r="H105" s="493"/>
      <c r="I105" s="493"/>
      <c r="J105" s="493"/>
      <c r="K105" s="493"/>
      <c r="L105" s="493"/>
      <c r="M105" s="493"/>
    </row>
    <row r="106" spans="1:13" s="88" customFormat="1" ht="24.75" customHeight="1">
      <c r="A106" s="89" t="s">
        <v>1223</v>
      </c>
      <c r="B106" s="92" t="s">
        <v>1508</v>
      </c>
      <c r="C106" s="493" t="s">
        <v>1563</v>
      </c>
      <c r="D106" s="493"/>
      <c r="E106" s="493"/>
      <c r="F106" s="493"/>
      <c r="G106" s="493"/>
      <c r="H106" s="493"/>
      <c r="I106" s="493"/>
      <c r="J106" s="493"/>
      <c r="K106" s="493"/>
      <c r="L106" s="493"/>
      <c r="M106" s="493"/>
    </row>
    <row r="107" spans="1:13" s="88" customFormat="1" ht="16.5" customHeight="1">
      <c r="A107" s="89" t="s">
        <v>1228</v>
      </c>
      <c r="B107" s="493"/>
      <c r="C107" s="493"/>
      <c r="D107" s="493"/>
      <c r="E107" s="493"/>
      <c r="F107" s="493"/>
      <c r="G107" s="493"/>
      <c r="H107" s="493"/>
      <c r="I107" s="493"/>
      <c r="J107" s="493"/>
      <c r="K107" s="493"/>
      <c r="L107" s="493"/>
      <c r="M107" s="493"/>
    </row>
    <row r="108" spans="1:13" ht="16.5" customHeight="1">
      <c r="A108" s="89" t="s">
        <v>1229</v>
      </c>
      <c r="B108" s="493" t="s">
        <v>1557</v>
      </c>
      <c r="C108" s="493"/>
      <c r="D108" s="493"/>
      <c r="E108" s="493"/>
      <c r="F108" s="493"/>
      <c r="G108" s="493"/>
      <c r="H108" s="493"/>
      <c r="I108" s="493"/>
      <c r="J108" s="493"/>
      <c r="K108" s="493"/>
      <c r="L108" s="493"/>
      <c r="M108" s="493"/>
    </row>
    <row r="109" spans="1:13" ht="21" customHeight="1">
      <c r="B109" s="494" t="s">
        <v>1231</v>
      </c>
      <c r="C109" s="494"/>
      <c r="D109" s="494"/>
      <c r="E109" s="494"/>
      <c r="F109" s="494"/>
      <c r="G109" s="494"/>
      <c r="H109" s="494"/>
      <c r="I109" s="494"/>
      <c r="J109" s="494"/>
      <c r="K109" s="494"/>
      <c r="L109" s="495"/>
    </row>
    <row r="110" spans="1:13" s="93" customFormat="1" ht="16.5" customHeight="1"/>
    <row r="111" spans="1:13" s="93" customFormat="1" ht="16.5" customHeight="1">
      <c r="A111" s="94" t="s">
        <v>1232</v>
      </c>
      <c r="B111" s="93" t="s">
        <v>1295</v>
      </c>
    </row>
    <row r="112" spans="1:13" s="93" customFormat="1" ht="16.5" customHeight="1">
      <c r="D112" s="104" t="s">
        <v>1238</v>
      </c>
    </row>
    <row r="113" spans="2:6" s="93" customFormat="1" ht="16.5" customHeight="1">
      <c r="B113" s="357">
        <v>0.92057870370370365</v>
      </c>
      <c r="C113" s="93">
        <f>MINUTE(B113)</f>
        <v>5</v>
      </c>
      <c r="D113" s="108" t="s">
        <v>1564</v>
      </c>
      <c r="E113" s="94"/>
      <c r="F113" s="94"/>
    </row>
    <row r="200" spans="1:13" s="88" customFormat="1" ht="26.25" customHeight="1">
      <c r="A200" s="498" t="s">
        <v>88</v>
      </c>
      <c r="B200" s="498"/>
      <c r="C200" s="499"/>
      <c r="D200" s="87"/>
      <c r="E200" s="500" t="str">
        <f>HYPERLINK("#目录!A52","跳转回到目录页")</f>
        <v>跳转回到目录页</v>
      </c>
      <c r="F200" s="501"/>
    </row>
    <row r="201" spans="1:13" s="88" customFormat="1" ht="26.25" customHeight="1">
      <c r="A201" s="502" t="s">
        <v>1216</v>
      </c>
      <c r="B201" s="502"/>
      <c r="C201" s="503" t="s">
        <v>1565</v>
      </c>
      <c r="D201" s="503"/>
      <c r="E201" s="503"/>
      <c r="F201" s="503"/>
      <c r="G201" s="503"/>
      <c r="H201" s="503"/>
      <c r="I201" s="503"/>
      <c r="J201" s="503"/>
      <c r="K201" s="503"/>
      <c r="L201" s="503"/>
      <c r="M201" s="503"/>
    </row>
    <row r="202" spans="1:13" s="88" customFormat="1" ht="16.5" customHeight="1">
      <c r="A202" s="496" t="s">
        <v>1217</v>
      </c>
      <c r="B202" s="496"/>
      <c r="C202" s="493" t="s">
        <v>1566</v>
      </c>
      <c r="D202" s="493"/>
      <c r="E202" s="493"/>
      <c r="F202" s="493"/>
      <c r="G202" s="493"/>
      <c r="H202" s="493"/>
      <c r="I202" s="493"/>
      <c r="J202" s="493"/>
      <c r="K202" s="493"/>
      <c r="L202" s="493"/>
      <c r="M202" s="493"/>
    </row>
    <row r="203" spans="1:13" s="88" customFormat="1" ht="16.5" customHeight="1">
      <c r="A203" s="496" t="s">
        <v>5786</v>
      </c>
      <c r="B203" s="496"/>
      <c r="C203" s="497" t="s">
        <v>1567</v>
      </c>
      <c r="D203" s="497"/>
      <c r="E203" s="497"/>
      <c r="F203" s="497"/>
      <c r="G203" s="497"/>
      <c r="H203" s="497"/>
      <c r="I203" s="497"/>
      <c r="J203" s="497"/>
      <c r="K203" s="497"/>
      <c r="L203" s="497"/>
      <c r="M203" s="497"/>
    </row>
    <row r="204" spans="1:13" s="88" customFormat="1" ht="16.5" customHeight="1">
      <c r="A204" s="496" t="s">
        <v>1220</v>
      </c>
      <c r="B204" s="496"/>
      <c r="C204" s="493" t="s">
        <v>1568</v>
      </c>
      <c r="D204" s="493"/>
      <c r="E204" s="493"/>
      <c r="F204" s="493"/>
      <c r="G204" s="493"/>
      <c r="H204" s="493"/>
      <c r="I204" s="493"/>
      <c r="J204" s="493"/>
      <c r="K204" s="493"/>
      <c r="L204" s="493"/>
      <c r="M204" s="493"/>
    </row>
    <row r="205" spans="1:13" s="88" customFormat="1" ht="16.5" customHeight="1">
      <c r="A205" s="496" t="s">
        <v>5785</v>
      </c>
      <c r="B205" s="496"/>
      <c r="C205" s="493" t="s">
        <v>1569</v>
      </c>
      <c r="D205" s="493"/>
      <c r="E205" s="493"/>
      <c r="F205" s="493"/>
      <c r="G205" s="493"/>
      <c r="H205" s="493"/>
      <c r="I205" s="493"/>
      <c r="J205" s="493"/>
      <c r="K205" s="493"/>
      <c r="L205" s="493"/>
      <c r="M205" s="493"/>
    </row>
    <row r="206" spans="1:13" s="88" customFormat="1" ht="24.75" customHeight="1">
      <c r="A206" s="89" t="s">
        <v>1223</v>
      </c>
      <c r="B206" s="92" t="s">
        <v>1508</v>
      </c>
      <c r="C206" s="493" t="s">
        <v>1570</v>
      </c>
      <c r="D206" s="493"/>
      <c r="E206" s="493"/>
      <c r="F206" s="493"/>
      <c r="G206" s="493"/>
      <c r="H206" s="493"/>
      <c r="I206" s="493"/>
      <c r="J206" s="493"/>
      <c r="K206" s="493"/>
      <c r="L206" s="493"/>
      <c r="M206" s="493"/>
    </row>
    <row r="207" spans="1:13" s="88" customFormat="1" ht="16.5" customHeight="1">
      <c r="A207" s="89" t="s">
        <v>1228</v>
      </c>
      <c r="B207" s="493"/>
      <c r="C207" s="493"/>
      <c r="D207" s="493"/>
      <c r="E207" s="493"/>
      <c r="F207" s="493"/>
      <c r="G207" s="493"/>
      <c r="H207" s="493"/>
      <c r="I207" s="493"/>
      <c r="J207" s="493"/>
      <c r="K207" s="493"/>
      <c r="L207" s="493"/>
      <c r="M207" s="493"/>
    </row>
    <row r="208" spans="1:13" ht="16.5" customHeight="1">
      <c r="A208" s="89" t="s">
        <v>1229</v>
      </c>
      <c r="B208" s="493" t="s">
        <v>1557</v>
      </c>
      <c r="C208" s="493"/>
      <c r="D208" s="493"/>
      <c r="E208" s="493"/>
      <c r="F208" s="493"/>
      <c r="G208" s="493"/>
      <c r="H208" s="493"/>
      <c r="I208" s="493"/>
      <c r="J208" s="493"/>
      <c r="K208" s="493"/>
      <c r="L208" s="493"/>
      <c r="M208" s="493"/>
    </row>
    <row r="209" spans="1:12" ht="21" customHeight="1">
      <c r="B209" s="494" t="s">
        <v>1231</v>
      </c>
      <c r="C209" s="494"/>
      <c r="D209" s="494"/>
      <c r="E209" s="494"/>
      <c r="F209" s="494"/>
      <c r="G209" s="494"/>
      <c r="H209" s="494"/>
      <c r="I209" s="494"/>
      <c r="J209" s="494"/>
      <c r="K209" s="494"/>
      <c r="L209" s="495"/>
    </row>
    <row r="210" spans="1:12" s="93" customFormat="1" ht="16.5" customHeight="1"/>
    <row r="211" spans="1:12" s="93" customFormat="1" ht="16.5" customHeight="1">
      <c r="A211" s="94" t="s">
        <v>1232</v>
      </c>
      <c r="B211" s="93" t="s">
        <v>1295</v>
      </c>
    </row>
    <row r="212" spans="1:12" s="93" customFormat="1" ht="16.5" customHeight="1">
      <c r="D212" s="104" t="s">
        <v>1238</v>
      </c>
    </row>
    <row r="213" spans="1:12" s="93" customFormat="1" ht="16.5" customHeight="1">
      <c r="B213" s="357">
        <v>0.92057870370370365</v>
      </c>
      <c r="C213" s="93">
        <f>SECOND(B213)</f>
        <v>38</v>
      </c>
      <c r="D213" s="108" t="s">
        <v>1571</v>
      </c>
      <c r="E213" s="94"/>
      <c r="F213" s="94"/>
    </row>
  </sheetData>
  <mergeCells count="48">
    <mergeCell ref="A1:C1"/>
    <mergeCell ref="E1:F1"/>
    <mergeCell ref="A2:B2"/>
    <mergeCell ref="C2:M2"/>
    <mergeCell ref="A3:B3"/>
    <mergeCell ref="C3:M3"/>
    <mergeCell ref="A4:B4"/>
    <mergeCell ref="C4:M4"/>
    <mergeCell ref="A5:B5"/>
    <mergeCell ref="C5:M5"/>
    <mergeCell ref="A6:B6"/>
    <mergeCell ref="C6:M6"/>
    <mergeCell ref="C7:M7"/>
    <mergeCell ref="B8:M8"/>
    <mergeCell ref="B9:M9"/>
    <mergeCell ref="B10:L10"/>
    <mergeCell ref="A100:C100"/>
    <mergeCell ref="E100:F100"/>
    <mergeCell ref="B107:M107"/>
    <mergeCell ref="A101:B101"/>
    <mergeCell ref="C101:M101"/>
    <mergeCell ref="A102:B102"/>
    <mergeCell ref="C102:M102"/>
    <mergeCell ref="A103:B103"/>
    <mergeCell ref="C103:M103"/>
    <mergeCell ref="A104:B104"/>
    <mergeCell ref="C104:M104"/>
    <mergeCell ref="A105:B105"/>
    <mergeCell ref="C105:M105"/>
    <mergeCell ref="C106:M106"/>
    <mergeCell ref="B108:M108"/>
    <mergeCell ref="B109:L109"/>
    <mergeCell ref="A200:C200"/>
    <mergeCell ref="E200:F200"/>
    <mergeCell ref="A201:B201"/>
    <mergeCell ref="C201:M201"/>
    <mergeCell ref="B209:L209"/>
    <mergeCell ref="A202:B202"/>
    <mergeCell ref="C202:M202"/>
    <mergeCell ref="A203:B203"/>
    <mergeCell ref="C203:M203"/>
    <mergeCell ref="A204:B204"/>
    <mergeCell ref="C204:M204"/>
    <mergeCell ref="A205:B205"/>
    <mergeCell ref="C205:M205"/>
    <mergeCell ref="C206:M206"/>
    <mergeCell ref="B207:M207"/>
    <mergeCell ref="B208:M208"/>
  </mergeCells>
  <phoneticPr fontId="2" type="noConversion"/>
  <pageMargins left="0.75" right="0.75" top="1" bottom="1" header="0.5" footer="0.5"/>
  <headerFooter scaleWithDoc="0"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0"/>
  <dimension ref="A1:AV723"/>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896</v>
      </c>
      <c r="B1" s="498"/>
      <c r="C1" s="499"/>
      <c r="D1" s="87"/>
      <c r="E1" s="500" t="str">
        <f>HYPERLINK("#目录!A351","跳转回到目录页")</f>
        <v>跳转回到目录页</v>
      </c>
      <c r="F1" s="501"/>
    </row>
    <row r="2" spans="1:13" s="88" customFormat="1" ht="26.25" customHeight="1">
      <c r="A2" s="502" t="s">
        <v>1216</v>
      </c>
      <c r="B2" s="502"/>
      <c r="C2" s="503" t="s">
        <v>555</v>
      </c>
      <c r="D2" s="503"/>
      <c r="E2" s="503"/>
      <c r="F2" s="503"/>
      <c r="G2" s="503"/>
      <c r="H2" s="503"/>
      <c r="I2" s="503"/>
      <c r="J2" s="503"/>
      <c r="K2" s="503"/>
      <c r="L2" s="503"/>
      <c r="M2" s="503"/>
    </row>
    <row r="3" spans="1:13" s="88" customFormat="1" ht="16.5" customHeight="1">
      <c r="A3" s="496" t="s">
        <v>1217</v>
      </c>
      <c r="B3" s="496"/>
      <c r="C3" s="493" t="s">
        <v>4489</v>
      </c>
      <c r="D3" s="493"/>
      <c r="E3" s="493"/>
      <c r="F3" s="493"/>
      <c r="G3" s="493"/>
      <c r="H3" s="493"/>
      <c r="I3" s="493"/>
      <c r="J3" s="493"/>
      <c r="K3" s="493"/>
      <c r="L3" s="493"/>
      <c r="M3" s="493"/>
    </row>
    <row r="4" spans="1:13" s="88" customFormat="1" ht="16.5" customHeight="1">
      <c r="A4" s="496" t="s">
        <v>5786</v>
      </c>
      <c r="B4" s="496"/>
      <c r="C4" s="497" t="s">
        <v>555</v>
      </c>
      <c r="D4" s="497"/>
      <c r="E4" s="497"/>
      <c r="F4" s="497"/>
      <c r="G4" s="497"/>
      <c r="H4" s="497"/>
      <c r="I4" s="497"/>
      <c r="J4" s="497"/>
      <c r="K4" s="497"/>
      <c r="L4" s="497"/>
      <c r="M4" s="497"/>
    </row>
    <row r="5" spans="1:13" s="88" customFormat="1" ht="16.5" customHeight="1">
      <c r="A5" s="496" t="s">
        <v>1220</v>
      </c>
      <c r="B5" s="496"/>
      <c r="C5" s="493" t="s">
        <v>4490</v>
      </c>
      <c r="D5" s="493"/>
      <c r="E5" s="493"/>
      <c r="F5" s="493"/>
      <c r="G5" s="493"/>
      <c r="H5" s="493"/>
      <c r="I5" s="493"/>
      <c r="J5" s="493"/>
      <c r="K5" s="493"/>
      <c r="L5" s="493"/>
      <c r="M5" s="493"/>
    </row>
    <row r="6" spans="1:13" s="88" customFormat="1" ht="16.5" customHeight="1">
      <c r="A6" s="496" t="s">
        <v>5785</v>
      </c>
      <c r="B6" s="496"/>
      <c r="C6" s="493" t="s">
        <v>4491</v>
      </c>
      <c r="D6" s="493"/>
      <c r="E6" s="493"/>
      <c r="F6" s="493"/>
      <c r="G6" s="493"/>
      <c r="H6" s="493"/>
      <c r="I6" s="493"/>
      <c r="J6" s="493"/>
      <c r="K6" s="493"/>
      <c r="L6" s="493"/>
      <c r="M6" s="493"/>
    </row>
    <row r="7" spans="1:13" s="88" customFormat="1" ht="16.5" customHeight="1">
      <c r="A7" s="89" t="s">
        <v>1223</v>
      </c>
      <c r="B7" s="92" t="s">
        <v>4399</v>
      </c>
      <c r="C7" s="493" t="s">
        <v>4423</v>
      </c>
      <c r="D7" s="493"/>
      <c r="E7" s="493"/>
      <c r="F7" s="493"/>
      <c r="G7" s="493"/>
      <c r="H7" s="493"/>
      <c r="I7" s="493"/>
      <c r="J7" s="493"/>
      <c r="K7" s="493"/>
      <c r="L7" s="493"/>
      <c r="M7" s="493"/>
    </row>
    <row r="8" spans="1:13" s="88" customFormat="1" ht="16.5" customHeight="1">
      <c r="A8" s="89"/>
      <c r="B8" s="92" t="s">
        <v>4401</v>
      </c>
      <c r="C8" s="493" t="s">
        <v>4426</v>
      </c>
      <c r="D8" s="493"/>
      <c r="E8" s="493"/>
      <c r="F8" s="493"/>
      <c r="G8" s="493"/>
      <c r="H8" s="493"/>
      <c r="I8" s="493"/>
      <c r="J8" s="493"/>
      <c r="K8" s="493"/>
      <c r="L8" s="493"/>
      <c r="M8" s="493"/>
    </row>
    <row r="9" spans="1:13" s="88" customFormat="1" ht="24.75" customHeight="1">
      <c r="A9" s="89"/>
      <c r="B9" s="92" t="s">
        <v>4482</v>
      </c>
      <c r="C9" s="493" t="s">
        <v>4492</v>
      </c>
      <c r="D9" s="493"/>
      <c r="E9" s="493"/>
      <c r="F9" s="493"/>
      <c r="G9" s="493"/>
      <c r="H9" s="493"/>
      <c r="I9" s="493"/>
      <c r="J9" s="493"/>
      <c r="K9" s="493"/>
      <c r="L9" s="493"/>
      <c r="M9" s="493"/>
    </row>
    <row r="10" spans="1:13" s="88" customFormat="1" ht="24.75" customHeight="1">
      <c r="A10" s="89"/>
      <c r="B10" s="90" t="s">
        <v>4403</v>
      </c>
      <c r="C10" s="493" t="s">
        <v>4493</v>
      </c>
      <c r="D10" s="493"/>
      <c r="E10" s="493"/>
      <c r="F10" s="493"/>
      <c r="G10" s="493"/>
      <c r="H10" s="493"/>
      <c r="I10" s="493"/>
      <c r="J10" s="493"/>
      <c r="K10" s="493"/>
      <c r="L10" s="493"/>
      <c r="M10" s="493"/>
    </row>
    <row r="11" spans="1:13" s="88" customFormat="1" ht="16.5" customHeight="1">
      <c r="A11" s="89"/>
      <c r="B11" s="90" t="s">
        <v>4250</v>
      </c>
      <c r="C11" s="493" t="s">
        <v>4456</v>
      </c>
      <c r="D11" s="493"/>
      <c r="E11" s="493"/>
      <c r="F11" s="493"/>
      <c r="G11" s="493"/>
      <c r="H11" s="493"/>
      <c r="I11" s="493"/>
      <c r="J11" s="493"/>
      <c r="K11" s="493"/>
      <c r="L11" s="493"/>
      <c r="M11" s="493"/>
    </row>
    <row r="12" spans="1:13" s="88" customFormat="1" ht="16.5" customHeight="1">
      <c r="A12" s="89" t="s">
        <v>1228</v>
      </c>
      <c r="B12" s="493" t="s">
        <v>4494</v>
      </c>
      <c r="C12" s="493"/>
      <c r="D12" s="493"/>
      <c r="E12" s="493"/>
      <c r="F12" s="493"/>
      <c r="G12" s="493"/>
      <c r="H12" s="493"/>
      <c r="I12" s="493"/>
      <c r="J12" s="493"/>
      <c r="K12" s="493"/>
      <c r="L12" s="493"/>
      <c r="M12" s="493"/>
    </row>
    <row r="13" spans="1:13" ht="38.25" customHeight="1">
      <c r="A13" s="89" t="s">
        <v>1229</v>
      </c>
      <c r="B13" s="673" t="s">
        <v>4495</v>
      </c>
      <c r="C13" s="673"/>
      <c r="D13" s="673"/>
      <c r="E13" s="673"/>
      <c r="F13" s="673"/>
      <c r="G13" s="673"/>
      <c r="H13" s="673"/>
      <c r="I13" s="673"/>
      <c r="J13" s="673"/>
      <c r="K13" s="673"/>
      <c r="L13" s="673"/>
      <c r="M13" s="673"/>
    </row>
    <row r="14" spans="1:13" ht="21" customHeight="1">
      <c r="B14" s="494" t="s">
        <v>2863</v>
      </c>
      <c r="C14" s="494"/>
      <c r="D14" s="494"/>
      <c r="E14" s="494"/>
      <c r="F14" s="494"/>
      <c r="G14" s="494"/>
      <c r="H14" s="494"/>
      <c r="I14" s="494"/>
      <c r="J14" s="494"/>
      <c r="K14" s="494"/>
      <c r="L14" s="495"/>
    </row>
    <row r="15" spans="1:13" s="93" customFormat="1" ht="16.5" customHeight="1"/>
    <row r="16" spans="1:13" s="93" customFormat="1" ht="16.5" customHeight="1">
      <c r="A16" s="94" t="s">
        <v>1232</v>
      </c>
      <c r="B16" s="93" t="s">
        <v>1773</v>
      </c>
      <c r="F16" s="93" t="s">
        <v>3592</v>
      </c>
    </row>
    <row r="17" spans="1:48" s="93" customFormat="1" ht="16.5" customHeight="1">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t="s">
        <v>4496</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4" t="s">
        <v>4415</v>
      </c>
      <c r="C20" s="94" t="s">
        <v>4416</v>
      </c>
      <c r="D20" s="94" t="s">
        <v>4497</v>
      </c>
      <c r="E20" s="94" t="s">
        <v>4498</v>
      </c>
      <c r="F20" s="104" t="s">
        <v>1238</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160">
        <v>0.02</v>
      </c>
      <c r="C21" s="93">
        <v>5</v>
      </c>
      <c r="D21" s="93">
        <v>-15000</v>
      </c>
      <c r="E21" s="168">
        <f>FV(B21/12,C21*12,D21,0,1)</f>
        <v>947286.52267537697</v>
      </c>
      <c r="F21" s="108" t="s">
        <v>4499</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F22" s="93" t="s">
        <v>3592</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A25" s="9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A35" s="9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c r="A50" s="93"/>
      <c r="B50" s="93"/>
      <c r="C50" s="93"/>
      <c r="D50" s="93"/>
      <c r="E50" s="93"/>
      <c r="F50" s="93"/>
      <c r="G50" s="93"/>
      <c r="H50" s="93"/>
      <c r="I50" s="93"/>
      <c r="J50" s="93"/>
      <c r="K50" s="93"/>
      <c r="L50" s="93"/>
      <c r="M50" s="93"/>
    </row>
    <row r="100" spans="1:13" s="88" customFormat="1" ht="26.25" customHeight="1">
      <c r="A100" s="498" t="s">
        <v>898</v>
      </c>
      <c r="B100" s="498"/>
      <c r="C100" s="499"/>
      <c r="D100" s="87"/>
      <c r="E100" s="500" t="str">
        <f>HYPERLINK("#目录!A352","跳转回到目录页")</f>
        <v>跳转回到目录页</v>
      </c>
      <c r="F100" s="501"/>
    </row>
    <row r="101" spans="1:13" s="88" customFormat="1" ht="26.25" customHeight="1">
      <c r="A101" s="502" t="s">
        <v>1216</v>
      </c>
      <c r="B101" s="502"/>
      <c r="C101" s="503" t="s">
        <v>556</v>
      </c>
      <c r="D101" s="503"/>
      <c r="E101" s="503"/>
      <c r="F101" s="503"/>
      <c r="G101" s="503"/>
      <c r="H101" s="503"/>
      <c r="I101" s="503"/>
      <c r="J101" s="503"/>
      <c r="K101" s="503"/>
      <c r="L101" s="503"/>
      <c r="M101" s="503"/>
    </row>
    <row r="102" spans="1:13" s="88" customFormat="1" ht="16.5" customHeight="1">
      <c r="A102" s="496" t="s">
        <v>1217</v>
      </c>
      <c r="B102" s="496"/>
      <c r="C102" s="493" t="s">
        <v>4500</v>
      </c>
      <c r="D102" s="493"/>
      <c r="E102" s="493"/>
      <c r="F102" s="493"/>
      <c r="G102" s="493"/>
      <c r="H102" s="493"/>
      <c r="I102" s="493"/>
      <c r="J102" s="493"/>
      <c r="K102" s="493"/>
      <c r="L102" s="493"/>
      <c r="M102" s="493"/>
    </row>
    <row r="103" spans="1:13" s="88" customFormat="1" ht="16.5" customHeight="1">
      <c r="A103" s="496" t="s">
        <v>5786</v>
      </c>
      <c r="B103" s="496"/>
      <c r="C103" s="497" t="s">
        <v>556</v>
      </c>
      <c r="D103" s="497"/>
      <c r="E103" s="497"/>
      <c r="F103" s="497"/>
      <c r="G103" s="497"/>
      <c r="H103" s="497"/>
      <c r="I103" s="497"/>
      <c r="J103" s="497"/>
      <c r="K103" s="497"/>
      <c r="L103" s="497"/>
      <c r="M103" s="497"/>
    </row>
    <row r="104" spans="1:13" s="88" customFormat="1" ht="16.5" customHeight="1">
      <c r="A104" s="496" t="s">
        <v>1220</v>
      </c>
      <c r="B104" s="496"/>
      <c r="C104" s="493" t="s">
        <v>4501</v>
      </c>
      <c r="D104" s="493"/>
      <c r="E104" s="493"/>
      <c r="F104" s="493"/>
      <c r="G104" s="493"/>
      <c r="H104" s="493"/>
      <c r="I104" s="493"/>
      <c r="J104" s="493"/>
      <c r="K104" s="493"/>
      <c r="L104" s="493"/>
      <c r="M104" s="493"/>
    </row>
    <row r="105" spans="1:13" s="88" customFormat="1" ht="16.5" customHeight="1">
      <c r="A105" s="496" t="s">
        <v>5785</v>
      </c>
      <c r="B105" s="496"/>
      <c r="C105" s="493" t="s">
        <v>4502</v>
      </c>
      <c r="D105" s="493"/>
      <c r="E105" s="493"/>
      <c r="F105" s="493"/>
      <c r="G105" s="493"/>
      <c r="H105" s="493"/>
      <c r="I105" s="493"/>
      <c r="J105" s="493"/>
      <c r="K105" s="493"/>
      <c r="L105" s="493"/>
      <c r="M105" s="493"/>
    </row>
    <row r="106" spans="1:13" s="88" customFormat="1" ht="16.5" customHeight="1">
      <c r="A106" s="89" t="s">
        <v>1223</v>
      </c>
      <c r="B106" s="92" t="s">
        <v>4503</v>
      </c>
      <c r="C106" s="493" t="s">
        <v>4439</v>
      </c>
      <c r="D106" s="493"/>
      <c r="E106" s="493"/>
      <c r="F106" s="493"/>
      <c r="G106" s="493"/>
      <c r="H106" s="493"/>
      <c r="I106" s="493"/>
      <c r="J106" s="493"/>
      <c r="K106" s="493"/>
      <c r="L106" s="493"/>
      <c r="M106" s="493"/>
    </row>
    <row r="107" spans="1:13" s="88" customFormat="1" ht="16.5" customHeight="1">
      <c r="A107" s="89"/>
      <c r="B107" s="92" t="s">
        <v>4504</v>
      </c>
      <c r="C107" s="493" t="s">
        <v>4505</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4506</v>
      </c>
      <c r="C109" s="493"/>
      <c r="D109" s="493"/>
      <c r="E109" s="493"/>
      <c r="F109" s="493"/>
      <c r="G109" s="493"/>
      <c r="H109" s="493"/>
      <c r="I109" s="493"/>
      <c r="J109" s="493"/>
      <c r="K109" s="493"/>
      <c r="L109" s="493"/>
      <c r="M109" s="493"/>
    </row>
    <row r="110" spans="1:13" ht="16.5" customHeight="1">
      <c r="A110" s="89" t="s">
        <v>1229</v>
      </c>
      <c r="B110" s="673" t="s">
        <v>2230</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9" s="93" customFormat="1" ht="16.5" customHeight="1">
      <c r="A113" s="94" t="s">
        <v>1232</v>
      </c>
      <c r="B113" s="93" t="s">
        <v>1773</v>
      </c>
    </row>
    <row r="114" spans="1:9" ht="16.5" customHeight="1">
      <c r="F114" s="93"/>
    </row>
    <row r="115" spans="1:9" ht="16.5" customHeight="1">
      <c r="F115" s="93" t="s">
        <v>3592</v>
      </c>
    </row>
    <row r="116" spans="1:9" ht="16.5" customHeight="1">
      <c r="B116" s="518" t="s">
        <v>4507</v>
      </c>
      <c r="C116" s="518"/>
      <c r="D116" s="518"/>
      <c r="E116" s="93"/>
      <c r="F116" s="93"/>
      <c r="G116" s="93"/>
      <c r="H116" s="93"/>
      <c r="I116" s="93"/>
    </row>
    <row r="117" spans="1:9" ht="16.5" customHeight="1">
      <c r="B117" s="94" t="s">
        <v>4508</v>
      </c>
      <c r="C117" s="94" t="s">
        <v>4415</v>
      </c>
      <c r="D117" s="94" t="s">
        <v>4498</v>
      </c>
      <c r="E117" s="104" t="s">
        <v>1238</v>
      </c>
      <c r="F117" s="93" t="s">
        <v>4509</v>
      </c>
      <c r="G117" s="93"/>
      <c r="H117" s="93"/>
      <c r="I117" s="93"/>
    </row>
    <row r="118" spans="1:9" ht="16.5" customHeight="1">
      <c r="B118" s="93">
        <v>1000000</v>
      </c>
      <c r="C118" s="162">
        <v>4.4999999999999998E-2</v>
      </c>
      <c r="D118" s="93">
        <f>FVSCHEDULE(B118,C118:C121)</f>
        <v>1209690.6937499999</v>
      </c>
      <c r="E118" s="108" t="s">
        <v>4510</v>
      </c>
      <c r="F118" s="93"/>
      <c r="G118" s="93"/>
      <c r="H118" s="93"/>
      <c r="I118" s="93"/>
    </row>
    <row r="119" spans="1:9" ht="16.5" customHeight="1">
      <c r="B119" s="93"/>
      <c r="C119" s="162">
        <v>0.05</v>
      </c>
      <c r="D119" s="93"/>
      <c r="E119" s="93"/>
      <c r="F119" s="93"/>
      <c r="G119" s="93"/>
      <c r="H119" s="93"/>
      <c r="I119" s="93"/>
    </row>
    <row r="120" spans="1:9">
      <c r="B120" s="93"/>
      <c r="C120" s="162">
        <v>5.5E-2</v>
      </c>
      <c r="D120" s="93"/>
      <c r="E120" s="93"/>
      <c r="F120" s="93"/>
      <c r="G120" s="93"/>
      <c r="H120" s="93"/>
      <c r="I120" s="93"/>
    </row>
    <row r="121" spans="1:9">
      <c r="B121" s="93"/>
      <c r="C121" s="162">
        <v>4.4999999999999998E-2</v>
      </c>
      <c r="D121" s="93"/>
      <c r="E121" s="93"/>
      <c r="F121" s="93"/>
      <c r="G121" s="93"/>
      <c r="H121" s="93"/>
      <c r="I121" s="93"/>
    </row>
    <row r="131" spans="6:6">
      <c r="F131" s="93"/>
    </row>
    <row r="132" spans="6:6">
      <c r="F132" s="93"/>
    </row>
    <row r="133" spans="6:6">
      <c r="F133" s="93"/>
    </row>
    <row r="200" spans="1:13" s="88" customFormat="1" ht="26.25" customHeight="1">
      <c r="A200" s="498" t="s">
        <v>1048</v>
      </c>
      <c r="B200" s="498"/>
      <c r="C200" s="499"/>
      <c r="D200" s="87"/>
      <c r="E200" s="500" t="str">
        <f>HYPERLINK("#目录!A354","跳转回到目录页")</f>
        <v>跳转回到目录页</v>
      </c>
      <c r="F200" s="501"/>
    </row>
    <row r="201" spans="1:13" s="88" customFormat="1" ht="26.25" customHeight="1">
      <c r="A201" s="502" t="s">
        <v>1216</v>
      </c>
      <c r="B201" s="502"/>
      <c r="C201" s="503" t="s">
        <v>558</v>
      </c>
      <c r="D201" s="503"/>
      <c r="E201" s="503"/>
      <c r="F201" s="503"/>
      <c r="G201" s="503"/>
      <c r="H201" s="503"/>
      <c r="I201" s="503"/>
      <c r="J201" s="503"/>
      <c r="K201" s="503"/>
      <c r="L201" s="503"/>
      <c r="M201" s="503"/>
    </row>
    <row r="202" spans="1:13" s="88" customFormat="1" ht="16.5" customHeight="1">
      <c r="A202" s="496" t="s">
        <v>1217</v>
      </c>
      <c r="B202" s="496"/>
      <c r="C202" s="493" t="s">
        <v>4511</v>
      </c>
      <c r="D202" s="493"/>
      <c r="E202" s="493"/>
      <c r="F202" s="493"/>
      <c r="G202" s="493"/>
      <c r="H202" s="493"/>
      <c r="I202" s="493"/>
      <c r="J202" s="493"/>
      <c r="K202" s="493"/>
      <c r="L202" s="493"/>
      <c r="M202" s="493"/>
    </row>
    <row r="203" spans="1:13" s="88" customFormat="1" ht="16.5" customHeight="1">
      <c r="A203" s="496" t="s">
        <v>5786</v>
      </c>
      <c r="B203" s="496"/>
      <c r="C203" s="497" t="s">
        <v>558</v>
      </c>
      <c r="D203" s="497"/>
      <c r="E203" s="497"/>
      <c r="F203" s="497"/>
      <c r="G203" s="497"/>
      <c r="H203" s="497"/>
      <c r="I203" s="497"/>
      <c r="J203" s="497"/>
      <c r="K203" s="497"/>
      <c r="L203" s="497"/>
      <c r="M203" s="497"/>
    </row>
    <row r="204" spans="1:13" s="88" customFormat="1" ht="16.5" customHeight="1">
      <c r="A204" s="496" t="s">
        <v>1220</v>
      </c>
      <c r="B204" s="496"/>
      <c r="C204" s="493" t="s">
        <v>4512</v>
      </c>
      <c r="D204" s="493"/>
      <c r="E204" s="493"/>
      <c r="F204" s="493"/>
      <c r="G204" s="493"/>
      <c r="H204" s="493"/>
      <c r="I204" s="493"/>
      <c r="J204" s="493"/>
      <c r="K204" s="493"/>
      <c r="L204" s="493"/>
      <c r="M204" s="493"/>
    </row>
    <row r="205" spans="1:13" s="88" customFormat="1" ht="16.5" customHeight="1">
      <c r="A205" s="496" t="s">
        <v>5785</v>
      </c>
      <c r="B205" s="496"/>
      <c r="C205" s="493" t="s">
        <v>4513</v>
      </c>
      <c r="D205" s="493"/>
      <c r="E205" s="493"/>
      <c r="F205" s="493"/>
      <c r="G205" s="493"/>
      <c r="H205" s="493"/>
      <c r="I205" s="493"/>
      <c r="J205" s="493"/>
      <c r="K205" s="493"/>
      <c r="L205" s="493"/>
      <c r="M205" s="493"/>
    </row>
    <row r="206" spans="1:13" s="88" customFormat="1" ht="16.5" customHeight="1">
      <c r="A206" s="89" t="s">
        <v>1223</v>
      </c>
      <c r="B206" s="92" t="s">
        <v>4399</v>
      </c>
      <c r="C206" s="493" t="s">
        <v>4514</v>
      </c>
      <c r="D206" s="493"/>
      <c r="E206" s="493"/>
      <c r="F206" s="493"/>
      <c r="G206" s="493"/>
      <c r="H206" s="493"/>
      <c r="I206" s="493"/>
      <c r="J206" s="493"/>
      <c r="K206" s="493"/>
      <c r="L206" s="493"/>
      <c r="M206" s="493"/>
    </row>
    <row r="207" spans="1:13" s="88" customFormat="1" ht="16.5" customHeight="1">
      <c r="A207" s="89"/>
      <c r="B207" s="92" t="s">
        <v>4482</v>
      </c>
      <c r="C207" s="493" t="s">
        <v>4515</v>
      </c>
      <c r="D207" s="493"/>
      <c r="E207" s="493"/>
      <c r="F207" s="493"/>
      <c r="G207" s="493"/>
      <c r="H207" s="493"/>
      <c r="I207" s="493"/>
      <c r="J207" s="493"/>
      <c r="K207" s="493"/>
      <c r="L207" s="493"/>
      <c r="M207" s="493"/>
    </row>
    <row r="208" spans="1:13" s="88" customFormat="1" ht="16.5" customHeight="1">
      <c r="A208" s="89"/>
      <c r="B208" s="90" t="s">
        <v>4403</v>
      </c>
      <c r="C208" s="493" t="s">
        <v>4454</v>
      </c>
      <c r="D208" s="493"/>
      <c r="E208" s="493"/>
      <c r="F208" s="493"/>
      <c r="G208" s="493"/>
      <c r="H208" s="493"/>
      <c r="I208" s="493"/>
      <c r="J208" s="493"/>
      <c r="K208" s="493"/>
      <c r="L208" s="493"/>
      <c r="M208" s="493"/>
    </row>
    <row r="209" spans="1:13" s="88" customFormat="1" ht="16.5" customHeight="1">
      <c r="A209" s="89"/>
      <c r="B209" s="92" t="s">
        <v>4405</v>
      </c>
      <c r="C209" s="493" t="s">
        <v>4455</v>
      </c>
      <c r="D209" s="493"/>
      <c r="E209" s="493"/>
      <c r="F209" s="493"/>
      <c r="G209" s="493"/>
      <c r="H209" s="493"/>
      <c r="I209" s="493"/>
      <c r="J209" s="493"/>
      <c r="K209" s="493"/>
      <c r="L209" s="493"/>
      <c r="M209" s="493"/>
    </row>
    <row r="210" spans="1:13" s="88" customFormat="1" ht="16.5" customHeight="1">
      <c r="A210" s="89"/>
      <c r="B210" s="90" t="s">
        <v>4250</v>
      </c>
      <c r="C210" s="493" t="s">
        <v>4407</v>
      </c>
      <c r="D210" s="493"/>
      <c r="E210" s="493"/>
      <c r="F210" s="493"/>
      <c r="G210" s="493"/>
      <c r="H210" s="493"/>
      <c r="I210" s="493"/>
      <c r="J210" s="493"/>
      <c r="K210" s="493"/>
      <c r="L210" s="493"/>
      <c r="M210" s="493"/>
    </row>
    <row r="211" spans="1:13" s="88" customFormat="1" ht="16.5" customHeight="1">
      <c r="A211" s="89" t="s">
        <v>1228</v>
      </c>
      <c r="B211" s="493" t="s">
        <v>4516</v>
      </c>
      <c r="C211" s="493"/>
      <c r="D211" s="493"/>
      <c r="E211" s="493"/>
      <c r="F211" s="493"/>
      <c r="G211" s="493"/>
      <c r="H211" s="493"/>
      <c r="I211" s="493"/>
      <c r="J211" s="493"/>
      <c r="K211" s="493"/>
      <c r="L211" s="493"/>
      <c r="M211" s="493"/>
    </row>
    <row r="212" spans="1:13" ht="16.5" customHeight="1">
      <c r="A212" s="89" t="s">
        <v>1229</v>
      </c>
      <c r="B212" s="673"/>
      <c r="C212" s="673"/>
      <c r="D212" s="673"/>
      <c r="E212" s="673"/>
      <c r="F212" s="673"/>
      <c r="G212" s="673"/>
      <c r="H212" s="673"/>
      <c r="I212" s="673"/>
      <c r="J212" s="673"/>
      <c r="K212" s="673"/>
      <c r="L212" s="673"/>
      <c r="M212" s="673"/>
    </row>
    <row r="213" spans="1:13" ht="21" customHeight="1">
      <c r="B213" s="494" t="s">
        <v>2863</v>
      </c>
      <c r="C213" s="494"/>
      <c r="D213" s="494"/>
      <c r="E213" s="494"/>
      <c r="F213" s="494"/>
      <c r="G213" s="494"/>
      <c r="H213" s="494"/>
      <c r="I213" s="494"/>
      <c r="J213" s="494"/>
      <c r="K213" s="494"/>
      <c r="L213" s="495"/>
    </row>
    <row r="214" spans="1:13" s="93" customFormat="1" ht="16.5" customHeight="1"/>
    <row r="215" spans="1:13" s="93" customFormat="1" ht="16.5" customHeight="1">
      <c r="A215" s="94" t="s">
        <v>1232</v>
      </c>
      <c r="B215" s="93" t="s">
        <v>1773</v>
      </c>
      <c r="F215" s="93" t="s">
        <v>3592</v>
      </c>
    </row>
    <row r="216" spans="1:13" s="93" customFormat="1" ht="16.5" customHeight="1"/>
    <row r="217" spans="1:13" s="93" customFormat="1" ht="16.5" customHeight="1">
      <c r="B217" s="93" t="s">
        <v>4409</v>
      </c>
      <c r="C217" s="93" t="s">
        <v>4410</v>
      </c>
      <c r="F217" s="93" t="s">
        <v>3592</v>
      </c>
    </row>
    <row r="218" spans="1:13" s="93" customFormat="1" ht="16.5" customHeight="1">
      <c r="B218" s="93" t="s">
        <v>4411</v>
      </c>
      <c r="C218" s="93" t="s">
        <v>4412</v>
      </c>
    </row>
    <row r="219" spans="1:13" s="93" customFormat="1" ht="16.5" customHeight="1">
      <c r="B219" s="93">
        <v>1</v>
      </c>
      <c r="C219" s="93" t="s">
        <v>4413</v>
      </c>
      <c r="F219" s="93" t="s">
        <v>3592</v>
      </c>
    </row>
    <row r="220" spans="1:13" s="93" customFormat="1" ht="16.5" customHeight="1"/>
    <row r="221" spans="1:13" s="93" customFormat="1" ht="16.5" customHeight="1">
      <c r="B221" s="518" t="s">
        <v>4517</v>
      </c>
      <c r="C221" s="518"/>
      <c r="D221" s="518"/>
      <c r="E221" s="518"/>
      <c r="F221" s="93" t="s">
        <v>3592</v>
      </c>
    </row>
    <row r="222" spans="1:13" s="93" customFormat="1" ht="16.5" customHeight="1">
      <c r="B222" s="94" t="s">
        <v>4415</v>
      </c>
      <c r="C222" s="94" t="s">
        <v>4518</v>
      </c>
      <c r="D222" s="94" t="s">
        <v>4417</v>
      </c>
      <c r="E222" s="94" t="s">
        <v>4519</v>
      </c>
      <c r="F222" s="104" t="s">
        <v>1238</v>
      </c>
    </row>
    <row r="223" spans="1:13" s="93" customFormat="1" ht="16.5" customHeight="1">
      <c r="B223" s="160">
        <v>0.05</v>
      </c>
      <c r="C223" s="93">
        <v>-30000</v>
      </c>
      <c r="D223" s="93">
        <v>1000000</v>
      </c>
      <c r="E223" s="164">
        <f>NPER(B223/12,C223,D223,0)</f>
        <v>35.962330207159575</v>
      </c>
      <c r="F223" s="108" t="s">
        <v>4520</v>
      </c>
    </row>
    <row r="224" spans="1:13" s="93" customFormat="1" ht="16.5" customHeight="1">
      <c r="E224" s="93" t="s">
        <v>4521</v>
      </c>
    </row>
    <row r="300" spans="1:13" s="88" customFormat="1" ht="26.25" customHeight="1">
      <c r="A300" s="498" t="s">
        <v>1100</v>
      </c>
      <c r="B300" s="498"/>
      <c r="C300" s="499"/>
      <c r="D300" s="87"/>
      <c r="E300" s="500" t="str">
        <f>HYPERLINK("#目录!A356","跳转回到目录页")</f>
        <v>跳转回到目录页</v>
      </c>
      <c r="F300" s="501"/>
    </row>
    <row r="301" spans="1:13" s="88" customFormat="1" ht="26.25" customHeight="1">
      <c r="A301" s="502" t="s">
        <v>1216</v>
      </c>
      <c r="B301" s="502"/>
      <c r="C301" s="503" t="s">
        <v>559</v>
      </c>
      <c r="D301" s="503"/>
      <c r="E301" s="503"/>
      <c r="F301" s="503"/>
      <c r="G301" s="503"/>
      <c r="H301" s="503"/>
      <c r="I301" s="503"/>
      <c r="J301" s="503"/>
      <c r="K301" s="503"/>
      <c r="L301" s="503"/>
      <c r="M301" s="503"/>
    </row>
    <row r="302" spans="1:13" s="88" customFormat="1" ht="16.5" customHeight="1">
      <c r="A302" s="496" t="s">
        <v>1217</v>
      </c>
      <c r="B302" s="496"/>
      <c r="C302" s="493" t="s">
        <v>4522</v>
      </c>
      <c r="D302" s="493"/>
      <c r="E302" s="493"/>
      <c r="F302" s="493"/>
      <c r="G302" s="493"/>
      <c r="H302" s="493"/>
      <c r="I302" s="493"/>
      <c r="J302" s="493"/>
      <c r="K302" s="493"/>
      <c r="L302" s="493"/>
      <c r="M302" s="493"/>
    </row>
    <row r="303" spans="1:13" s="88" customFormat="1" ht="16.5" customHeight="1">
      <c r="A303" s="496" t="s">
        <v>5786</v>
      </c>
      <c r="B303" s="496"/>
      <c r="C303" s="497" t="s">
        <v>559</v>
      </c>
      <c r="D303" s="497"/>
      <c r="E303" s="497"/>
      <c r="F303" s="497"/>
      <c r="G303" s="497"/>
      <c r="H303" s="497"/>
      <c r="I303" s="497"/>
      <c r="J303" s="497"/>
      <c r="K303" s="497"/>
      <c r="L303" s="497"/>
      <c r="M303" s="497"/>
    </row>
    <row r="304" spans="1:13" s="88" customFormat="1" ht="16.5" customHeight="1">
      <c r="A304" s="496" t="s">
        <v>1220</v>
      </c>
      <c r="B304" s="496"/>
      <c r="C304" s="493" t="s">
        <v>4523</v>
      </c>
      <c r="D304" s="493"/>
      <c r="E304" s="493"/>
      <c r="F304" s="493"/>
      <c r="G304" s="493"/>
      <c r="H304" s="493"/>
      <c r="I304" s="493"/>
      <c r="J304" s="493"/>
      <c r="K304" s="493"/>
      <c r="L304" s="493"/>
      <c r="M304" s="493"/>
    </row>
    <row r="305" spans="1:13" s="88" customFormat="1" ht="16.5" customHeight="1">
      <c r="A305" s="496" t="s">
        <v>5785</v>
      </c>
      <c r="B305" s="496"/>
      <c r="C305" s="493" t="s">
        <v>4524</v>
      </c>
      <c r="D305" s="493"/>
      <c r="E305" s="493"/>
      <c r="F305" s="493"/>
      <c r="G305" s="493"/>
      <c r="H305" s="493"/>
      <c r="I305" s="493"/>
      <c r="J305" s="493"/>
      <c r="K305" s="493"/>
      <c r="L305" s="493"/>
      <c r="M305" s="493"/>
    </row>
    <row r="306" spans="1:13" s="88" customFormat="1" ht="16.5" customHeight="1">
      <c r="A306" s="89" t="s">
        <v>1223</v>
      </c>
      <c r="B306" s="92" t="s">
        <v>4401</v>
      </c>
      <c r="C306" s="493" t="s">
        <v>4426</v>
      </c>
      <c r="D306" s="493"/>
      <c r="E306" s="493"/>
      <c r="F306" s="493"/>
      <c r="G306" s="493"/>
      <c r="H306" s="493"/>
      <c r="I306" s="493"/>
      <c r="J306" s="493"/>
      <c r="K306" s="493"/>
      <c r="L306" s="493"/>
      <c r="M306" s="493"/>
    </row>
    <row r="307" spans="1:13" s="88" customFormat="1" ht="16.5" customHeight="1">
      <c r="A307" s="89"/>
      <c r="B307" s="92" t="s">
        <v>4482</v>
      </c>
      <c r="C307" s="493" t="s">
        <v>4525</v>
      </c>
      <c r="D307" s="493"/>
      <c r="E307" s="493"/>
      <c r="F307" s="493"/>
      <c r="G307" s="493"/>
      <c r="H307" s="493"/>
      <c r="I307" s="493"/>
      <c r="J307" s="493"/>
      <c r="K307" s="493"/>
      <c r="L307" s="493"/>
      <c r="M307" s="493"/>
    </row>
    <row r="308" spans="1:13" s="88" customFormat="1" ht="16.5" customHeight="1">
      <c r="A308" s="89"/>
      <c r="B308" s="90" t="s">
        <v>4403</v>
      </c>
      <c r="C308" s="493" t="s">
        <v>4427</v>
      </c>
      <c r="D308" s="493"/>
      <c r="E308" s="493"/>
      <c r="F308" s="493"/>
      <c r="G308" s="493"/>
      <c r="H308" s="493"/>
      <c r="I308" s="493"/>
      <c r="J308" s="493"/>
      <c r="K308" s="493"/>
      <c r="L308" s="493"/>
      <c r="M308" s="493"/>
    </row>
    <row r="309" spans="1:13" s="88" customFormat="1" ht="16.5" customHeight="1">
      <c r="A309" s="89"/>
      <c r="B309" s="92" t="s">
        <v>4405</v>
      </c>
      <c r="C309" s="493" t="s">
        <v>4455</v>
      </c>
      <c r="D309" s="493"/>
      <c r="E309" s="493"/>
      <c r="F309" s="493"/>
      <c r="G309" s="493"/>
      <c r="H309" s="493"/>
      <c r="I309" s="493"/>
      <c r="J309" s="493"/>
      <c r="K309" s="493"/>
      <c r="L309" s="493"/>
      <c r="M309" s="493"/>
    </row>
    <row r="310" spans="1:13" s="88" customFormat="1" ht="16.5" customHeight="1">
      <c r="A310" s="89"/>
      <c r="B310" s="90" t="s">
        <v>4250</v>
      </c>
      <c r="C310" s="493" t="s">
        <v>4407</v>
      </c>
      <c r="D310" s="493"/>
      <c r="E310" s="493"/>
      <c r="F310" s="493"/>
      <c r="G310" s="493"/>
      <c r="H310" s="493"/>
      <c r="I310" s="493"/>
      <c r="J310" s="493"/>
      <c r="K310" s="493"/>
      <c r="L310" s="493"/>
      <c r="M310" s="493"/>
    </row>
    <row r="311" spans="1:13" s="88" customFormat="1" ht="16.5" customHeight="1">
      <c r="A311" s="89"/>
      <c r="B311" s="90" t="s">
        <v>4526</v>
      </c>
      <c r="C311" s="509" t="s">
        <v>4527</v>
      </c>
      <c r="D311" s="509"/>
      <c r="E311" s="509"/>
      <c r="F311" s="509"/>
      <c r="G311" s="509"/>
      <c r="H311" s="509"/>
      <c r="I311" s="509"/>
      <c r="J311" s="509"/>
      <c r="K311" s="509"/>
      <c r="L311" s="509"/>
      <c r="M311" s="509"/>
    </row>
    <row r="312" spans="1:13" s="88" customFormat="1" ht="38.25" customHeight="1">
      <c r="A312" s="89" t="s">
        <v>1228</v>
      </c>
      <c r="B312" s="493" t="s">
        <v>4528</v>
      </c>
      <c r="C312" s="493"/>
      <c r="D312" s="493"/>
      <c r="E312" s="493"/>
      <c r="F312" s="493"/>
      <c r="G312" s="493"/>
      <c r="H312" s="493"/>
      <c r="I312" s="493"/>
      <c r="J312" s="493"/>
      <c r="K312" s="493"/>
      <c r="L312" s="493"/>
      <c r="M312" s="493"/>
    </row>
    <row r="313" spans="1:13" ht="24.75" customHeight="1">
      <c r="A313" s="89" t="s">
        <v>1229</v>
      </c>
      <c r="B313" s="673" t="s">
        <v>4529</v>
      </c>
      <c r="C313" s="673"/>
      <c r="D313" s="673"/>
      <c r="E313" s="673"/>
      <c r="F313" s="673"/>
      <c r="G313" s="673"/>
      <c r="H313" s="673"/>
      <c r="I313" s="673"/>
      <c r="J313" s="673"/>
      <c r="K313" s="673"/>
      <c r="L313" s="673"/>
      <c r="M313" s="673"/>
    </row>
    <row r="314" spans="1:13" ht="21" customHeight="1">
      <c r="B314" s="494" t="s">
        <v>2863</v>
      </c>
      <c r="C314" s="494"/>
      <c r="D314" s="494"/>
      <c r="E314" s="494"/>
      <c r="F314" s="494"/>
      <c r="G314" s="494"/>
      <c r="H314" s="494"/>
      <c r="I314" s="494"/>
      <c r="J314" s="494"/>
      <c r="K314" s="494"/>
      <c r="L314" s="495"/>
    </row>
    <row r="315" spans="1:13" s="93" customFormat="1" ht="16.5" customHeight="1"/>
    <row r="316" spans="1:13" s="93" customFormat="1" ht="16.5" customHeight="1">
      <c r="A316" s="94" t="s">
        <v>1232</v>
      </c>
      <c r="B316" s="93" t="s">
        <v>1773</v>
      </c>
      <c r="F316" s="93" t="s">
        <v>3592</v>
      </c>
    </row>
    <row r="317" spans="1:13" ht="16.5" customHeight="1">
      <c r="F317" s="93"/>
      <c r="G317" s="93"/>
    </row>
    <row r="318" spans="1:13" ht="16.5" customHeight="1">
      <c r="B318" s="169" t="s">
        <v>4409</v>
      </c>
      <c r="C318" s="169" t="s">
        <v>4410</v>
      </c>
      <c r="D318" s="93"/>
      <c r="E318" s="93"/>
      <c r="F318" s="93" t="s">
        <v>3592</v>
      </c>
      <c r="G318" s="93"/>
      <c r="H318" s="93"/>
      <c r="I318" s="93"/>
      <c r="J318" s="93"/>
    </row>
    <row r="319" spans="1:13" ht="16.5" customHeight="1">
      <c r="B319" s="92" t="s">
        <v>4411</v>
      </c>
      <c r="C319" s="92" t="s">
        <v>4412</v>
      </c>
      <c r="D319" s="93"/>
      <c r="E319" s="93"/>
      <c r="F319" s="93"/>
      <c r="G319" s="93"/>
      <c r="H319" s="93"/>
      <c r="I319" s="93"/>
      <c r="J319" s="93"/>
    </row>
    <row r="320" spans="1:13" ht="16.5" customHeight="1">
      <c r="B320" s="92">
        <v>1</v>
      </c>
      <c r="C320" s="92" t="s">
        <v>4413</v>
      </c>
      <c r="D320" s="93"/>
      <c r="E320" s="93"/>
      <c r="F320" s="93" t="s">
        <v>3592</v>
      </c>
      <c r="G320" s="93"/>
      <c r="H320" s="93"/>
      <c r="I320" s="93"/>
      <c r="J320" s="93"/>
    </row>
    <row r="321" spans="2:10" ht="16.5" customHeight="1">
      <c r="B321" s="93"/>
      <c r="C321" s="93"/>
      <c r="D321" s="93"/>
      <c r="E321" s="93"/>
      <c r="F321" s="93"/>
      <c r="G321" s="93"/>
      <c r="H321" s="93"/>
      <c r="I321" s="93"/>
      <c r="J321" s="93"/>
    </row>
    <row r="322" spans="2:10" ht="16.5" customHeight="1">
      <c r="B322" s="518" t="s">
        <v>4530</v>
      </c>
      <c r="C322" s="518"/>
      <c r="D322" s="518"/>
      <c r="E322" s="518"/>
      <c r="F322" s="93" t="s">
        <v>3592</v>
      </c>
      <c r="G322" s="162"/>
      <c r="H322" s="93"/>
      <c r="I322" s="93"/>
      <c r="J322" s="93"/>
    </row>
    <row r="323" spans="2:10" ht="16.5" customHeight="1">
      <c r="B323" s="94" t="s">
        <v>4416</v>
      </c>
      <c r="C323" s="94" t="s">
        <v>4518</v>
      </c>
      <c r="D323" s="94" t="s">
        <v>4417</v>
      </c>
      <c r="E323" s="94" t="s">
        <v>4415</v>
      </c>
      <c r="F323" s="104" t="s">
        <v>1238</v>
      </c>
      <c r="G323" s="93"/>
      <c r="H323" s="93"/>
      <c r="I323" s="93"/>
      <c r="J323" s="93"/>
    </row>
    <row r="324" spans="2:10" ht="16.5" customHeight="1">
      <c r="B324" s="93">
        <v>4</v>
      </c>
      <c r="C324" s="93">
        <v>-200</v>
      </c>
      <c r="D324" s="93">
        <v>8000</v>
      </c>
      <c r="E324" s="162">
        <f>RATE(B324*12,C324,D324,0)</f>
        <v>7.7014724882013682E-3</v>
      </c>
      <c r="F324" s="108" t="s">
        <v>4531</v>
      </c>
      <c r="G324" s="93"/>
      <c r="H324" s="93"/>
      <c r="I324" s="93"/>
      <c r="J324" s="93"/>
    </row>
    <row r="325" spans="2:10" ht="16.5" customHeight="1">
      <c r="B325" s="93"/>
      <c r="C325" s="93"/>
      <c r="D325" s="93"/>
      <c r="E325" s="93"/>
      <c r="F325" s="93"/>
      <c r="G325" s="93"/>
      <c r="H325" s="93"/>
      <c r="I325" s="93"/>
      <c r="J325" s="93"/>
    </row>
    <row r="326" spans="2:10" ht="16.5" customHeight="1">
      <c r="B326" s="93"/>
      <c r="C326" s="93"/>
      <c r="D326" s="93"/>
      <c r="E326" s="93"/>
      <c r="F326" s="93"/>
      <c r="G326" s="93"/>
      <c r="H326" s="93"/>
      <c r="I326" s="93"/>
      <c r="J326" s="93"/>
    </row>
    <row r="327" spans="2:10" ht="16.5" customHeight="1">
      <c r="B327" s="93"/>
      <c r="C327" s="93"/>
      <c r="D327" s="93"/>
      <c r="E327" s="93"/>
      <c r="F327" s="93"/>
      <c r="G327" s="93"/>
      <c r="H327" s="93"/>
      <c r="I327" s="93"/>
      <c r="J327" s="93"/>
    </row>
    <row r="330" spans="2:10">
      <c r="F330" s="93" t="s">
        <v>4509</v>
      </c>
      <c r="G330" s="93"/>
    </row>
    <row r="331" spans="2:10">
      <c r="F331" s="161"/>
      <c r="G331" s="93"/>
    </row>
    <row r="332" spans="2:10">
      <c r="F332" s="161"/>
      <c r="G332" s="93"/>
    </row>
    <row r="333" spans="2:10">
      <c r="F333" s="161"/>
      <c r="G333" s="93"/>
    </row>
    <row r="334" spans="2:10">
      <c r="F334" s="93"/>
      <c r="G334" s="93"/>
    </row>
    <row r="335" spans="2:10">
      <c r="F335" s="170"/>
    </row>
    <row r="336" spans="2:10">
      <c r="F336" s="93"/>
    </row>
    <row r="337" spans="6:7">
      <c r="F337" s="93"/>
    </row>
    <row r="338" spans="6:7">
      <c r="G338" s="93"/>
    </row>
    <row r="339" spans="6:7">
      <c r="G339" s="93"/>
    </row>
    <row r="340" spans="6:7">
      <c r="G340" s="93"/>
    </row>
    <row r="341" spans="6:7">
      <c r="G341" s="93"/>
    </row>
    <row r="342" spans="6:7">
      <c r="G342" s="93"/>
    </row>
    <row r="343" spans="6:7">
      <c r="G343" s="93"/>
    </row>
    <row r="344" spans="6:7">
      <c r="G344" s="93"/>
    </row>
    <row r="345" spans="6:7">
      <c r="G345" s="93"/>
    </row>
    <row r="346" spans="6:7">
      <c r="G346" s="93"/>
    </row>
    <row r="400" spans="1:6" s="88" customFormat="1" ht="26.25" customHeight="1">
      <c r="A400" s="498" t="s">
        <v>561</v>
      </c>
      <c r="B400" s="498"/>
      <c r="C400" s="499"/>
      <c r="D400" s="87"/>
      <c r="E400" s="500" t="str">
        <f>HYPERLINK("#目录!A358","跳转回到目录页")</f>
        <v>跳转回到目录页</v>
      </c>
      <c r="F400" s="501"/>
    </row>
    <row r="401" spans="1:13" s="88" customFormat="1" ht="26.25" customHeight="1">
      <c r="A401" s="502" t="s">
        <v>1216</v>
      </c>
      <c r="B401" s="502"/>
      <c r="C401" s="503" t="s">
        <v>559</v>
      </c>
      <c r="D401" s="503"/>
      <c r="E401" s="503"/>
      <c r="F401" s="503"/>
      <c r="G401" s="503"/>
      <c r="H401" s="503"/>
      <c r="I401" s="503"/>
      <c r="J401" s="503"/>
      <c r="K401" s="503"/>
      <c r="L401" s="503"/>
      <c r="M401" s="503"/>
    </row>
    <row r="402" spans="1:13" s="88" customFormat="1" ht="16.5" customHeight="1">
      <c r="A402" s="496" t="s">
        <v>1217</v>
      </c>
      <c r="B402" s="496"/>
      <c r="C402" s="493" t="s">
        <v>4532</v>
      </c>
      <c r="D402" s="493"/>
      <c r="E402" s="493"/>
      <c r="F402" s="493"/>
      <c r="G402" s="493"/>
      <c r="H402" s="493"/>
      <c r="I402" s="493"/>
      <c r="J402" s="493"/>
      <c r="K402" s="493"/>
      <c r="L402" s="493"/>
      <c r="M402" s="493"/>
    </row>
    <row r="403" spans="1:13" s="88" customFormat="1" ht="16.5" customHeight="1">
      <c r="A403" s="496" t="s">
        <v>5786</v>
      </c>
      <c r="B403" s="496"/>
      <c r="C403" s="497" t="s">
        <v>559</v>
      </c>
      <c r="D403" s="497"/>
      <c r="E403" s="497"/>
      <c r="F403" s="497"/>
      <c r="G403" s="497"/>
      <c r="H403" s="497"/>
      <c r="I403" s="497"/>
      <c r="J403" s="497"/>
      <c r="K403" s="497"/>
      <c r="L403" s="497"/>
      <c r="M403" s="497"/>
    </row>
    <row r="404" spans="1:13" s="88" customFormat="1" ht="16.5" customHeight="1">
      <c r="A404" s="496" t="s">
        <v>1220</v>
      </c>
      <c r="B404" s="496"/>
      <c r="C404" s="493" t="s">
        <v>4533</v>
      </c>
      <c r="D404" s="493"/>
      <c r="E404" s="493"/>
      <c r="F404" s="493"/>
      <c r="G404" s="493"/>
      <c r="H404" s="493"/>
      <c r="I404" s="493"/>
      <c r="J404" s="493"/>
      <c r="K404" s="493"/>
      <c r="L404" s="493"/>
      <c r="M404" s="493"/>
    </row>
    <row r="405" spans="1:13" s="88" customFormat="1" ht="16.5" customHeight="1">
      <c r="A405" s="496" t="s">
        <v>5785</v>
      </c>
      <c r="B405" s="496"/>
      <c r="C405" s="493" t="s">
        <v>4534</v>
      </c>
      <c r="D405" s="493"/>
      <c r="E405" s="493"/>
      <c r="F405" s="493"/>
      <c r="G405" s="493"/>
      <c r="H405" s="493"/>
      <c r="I405" s="493"/>
      <c r="J405" s="493"/>
      <c r="K405" s="493"/>
      <c r="L405" s="493"/>
      <c r="M405" s="493"/>
    </row>
    <row r="406" spans="1:13" s="88" customFormat="1" ht="24.75" customHeight="1">
      <c r="A406" s="89" t="s">
        <v>1223</v>
      </c>
      <c r="B406" s="92" t="s">
        <v>4535</v>
      </c>
      <c r="C406" s="493" t="s">
        <v>4536</v>
      </c>
      <c r="D406" s="493"/>
      <c r="E406" s="493"/>
      <c r="F406" s="493"/>
      <c r="G406" s="493"/>
      <c r="H406" s="493"/>
      <c r="I406" s="493"/>
      <c r="J406" s="493"/>
      <c r="K406" s="493"/>
      <c r="L406" s="493"/>
      <c r="M406" s="493"/>
    </row>
    <row r="407" spans="1:13" s="88" customFormat="1" ht="16.5" customHeight="1">
      <c r="A407" s="89"/>
      <c r="B407" s="92" t="s">
        <v>4537</v>
      </c>
      <c r="C407" s="493" t="s">
        <v>4538</v>
      </c>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49.5" customHeight="1">
      <c r="A410" s="89" t="s">
        <v>1229</v>
      </c>
      <c r="B410" s="673" t="s">
        <v>4539</v>
      </c>
      <c r="C410" s="673"/>
      <c r="D410" s="673"/>
      <c r="E410" s="673"/>
      <c r="F410" s="673"/>
      <c r="G410" s="673"/>
      <c r="H410" s="673"/>
      <c r="I410" s="673"/>
      <c r="J410" s="673"/>
      <c r="K410" s="673"/>
      <c r="L410" s="673"/>
      <c r="M410" s="673"/>
    </row>
    <row r="411" spans="1:13" ht="21" customHeight="1">
      <c r="B411" s="494" t="s">
        <v>2863</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c r="F413" s="4" t="s">
        <v>3592</v>
      </c>
    </row>
    <row r="414" spans="1:13" ht="16.5" customHeight="1">
      <c r="B414" s="93"/>
      <c r="C414" s="93"/>
      <c r="D414" s="93"/>
      <c r="E414" s="93"/>
      <c r="F414" s="93"/>
      <c r="G414" s="93"/>
      <c r="H414" s="93"/>
      <c r="I414" s="93"/>
    </row>
    <row r="415" spans="1:13" ht="16.5" customHeight="1">
      <c r="B415" s="93"/>
      <c r="C415" s="93"/>
      <c r="D415" s="93"/>
      <c r="E415" s="93"/>
      <c r="F415" s="93"/>
      <c r="G415" s="93"/>
      <c r="H415" s="93"/>
      <c r="I415" s="93"/>
    </row>
    <row r="416" spans="1:13" ht="16.5" customHeight="1">
      <c r="B416" s="518" t="s">
        <v>562</v>
      </c>
      <c r="C416" s="518"/>
      <c r="D416" s="518"/>
      <c r="E416" s="93"/>
      <c r="F416" s="93"/>
      <c r="G416" s="93"/>
      <c r="H416" s="93"/>
      <c r="I416" s="93"/>
    </row>
    <row r="417" spans="2:9" ht="16.5" customHeight="1">
      <c r="B417" s="94" t="s">
        <v>4540</v>
      </c>
      <c r="C417" s="94" t="s">
        <v>4541</v>
      </c>
      <c r="D417" s="94" t="s">
        <v>4542</v>
      </c>
      <c r="E417" s="104" t="s">
        <v>1238</v>
      </c>
      <c r="F417" s="93"/>
      <c r="G417" s="93"/>
      <c r="H417" s="93"/>
      <c r="I417" s="93"/>
    </row>
    <row r="418" spans="2:9" ht="16.5" customHeight="1">
      <c r="B418" s="160">
        <v>0.02</v>
      </c>
      <c r="C418" s="93">
        <v>2</v>
      </c>
      <c r="D418" s="162">
        <f>EFFECT(B418,C418)</f>
        <v>2.0100000000000007E-2</v>
      </c>
      <c r="E418" s="108" t="s">
        <v>4543</v>
      </c>
      <c r="F418" s="93"/>
      <c r="G418" s="93"/>
      <c r="H418" s="93"/>
      <c r="I418" s="93"/>
    </row>
    <row r="419" spans="2:9" ht="16.5" customHeight="1">
      <c r="B419" s="93"/>
      <c r="C419" s="93"/>
      <c r="D419" s="93"/>
      <c r="E419" s="93"/>
      <c r="F419" s="93"/>
      <c r="G419" s="93"/>
      <c r="H419" s="93"/>
      <c r="I419" s="93"/>
    </row>
    <row r="420" spans="2:9" ht="16.5" customHeight="1">
      <c r="B420" s="93"/>
      <c r="C420" s="93"/>
      <c r="D420" s="93"/>
      <c r="E420" s="93"/>
      <c r="F420" s="93"/>
      <c r="G420" s="93"/>
      <c r="H420" s="93"/>
      <c r="I420" s="93"/>
    </row>
    <row r="421" spans="2:9" ht="16.5" customHeight="1">
      <c r="B421" s="93"/>
      <c r="C421" s="93"/>
      <c r="D421" s="93"/>
      <c r="E421" s="93"/>
      <c r="F421" s="93"/>
      <c r="G421" s="93"/>
      <c r="H421" s="93"/>
      <c r="I421" s="93"/>
    </row>
    <row r="422" spans="2:9" ht="16.5" customHeight="1">
      <c r="B422" s="93"/>
      <c r="C422" s="93"/>
      <c r="D422" s="93"/>
      <c r="E422" s="93"/>
      <c r="F422" s="93"/>
      <c r="G422" s="93"/>
      <c r="H422" s="93"/>
      <c r="I422" s="93"/>
    </row>
    <row r="423" spans="2:9">
      <c r="B423" s="93"/>
      <c r="C423" s="93"/>
      <c r="D423" s="93"/>
      <c r="E423" s="93"/>
      <c r="F423" s="93"/>
      <c r="G423" s="93"/>
      <c r="H423" s="93"/>
      <c r="I423" s="93"/>
    </row>
    <row r="500" spans="1:13" s="88" customFormat="1" ht="26.25" customHeight="1">
      <c r="A500" s="498" t="s">
        <v>1041</v>
      </c>
      <c r="B500" s="498"/>
      <c r="C500" s="499"/>
      <c r="D500" s="87"/>
      <c r="E500" s="500" t="str">
        <f>HYPERLINK("#目录!A359","跳转回到目录页")</f>
        <v>跳转回到目录页</v>
      </c>
      <c r="F500" s="501"/>
    </row>
    <row r="501" spans="1:13" s="88" customFormat="1" ht="26.25" customHeight="1">
      <c r="A501" s="502" t="s">
        <v>1216</v>
      </c>
      <c r="B501" s="502"/>
      <c r="C501" s="503" t="s">
        <v>563</v>
      </c>
      <c r="D501" s="503"/>
      <c r="E501" s="503"/>
      <c r="F501" s="503"/>
      <c r="G501" s="503"/>
      <c r="H501" s="503"/>
      <c r="I501" s="503"/>
      <c r="J501" s="503"/>
      <c r="K501" s="503"/>
      <c r="L501" s="503"/>
      <c r="M501" s="503"/>
    </row>
    <row r="502" spans="1:13" s="88" customFormat="1" ht="16.5" customHeight="1">
      <c r="A502" s="496" t="s">
        <v>1217</v>
      </c>
      <c r="B502" s="496"/>
      <c r="C502" s="493" t="s">
        <v>4544</v>
      </c>
      <c r="D502" s="493"/>
      <c r="E502" s="493"/>
      <c r="F502" s="493"/>
      <c r="G502" s="493"/>
      <c r="H502" s="493"/>
      <c r="I502" s="493"/>
      <c r="J502" s="493"/>
      <c r="K502" s="493"/>
      <c r="L502" s="493"/>
      <c r="M502" s="493"/>
    </row>
    <row r="503" spans="1:13" s="88" customFormat="1" ht="16.5" customHeight="1">
      <c r="A503" s="496" t="s">
        <v>5786</v>
      </c>
      <c r="B503" s="496"/>
      <c r="C503" s="497" t="s">
        <v>563</v>
      </c>
      <c r="D503" s="497"/>
      <c r="E503" s="497"/>
      <c r="F503" s="497"/>
      <c r="G503" s="497"/>
      <c r="H503" s="497"/>
      <c r="I503" s="497"/>
      <c r="J503" s="497"/>
      <c r="K503" s="497"/>
      <c r="L503" s="497"/>
      <c r="M503" s="497"/>
    </row>
    <row r="504" spans="1:13" s="88" customFormat="1" ht="16.5" customHeight="1">
      <c r="A504" s="496" t="s">
        <v>1220</v>
      </c>
      <c r="B504" s="496"/>
      <c r="C504" s="493" t="s">
        <v>4545</v>
      </c>
      <c r="D504" s="493"/>
      <c r="E504" s="493"/>
      <c r="F504" s="493"/>
      <c r="G504" s="493"/>
      <c r="H504" s="493"/>
      <c r="I504" s="493"/>
      <c r="J504" s="493"/>
      <c r="K504" s="493"/>
      <c r="L504" s="493"/>
      <c r="M504" s="493"/>
    </row>
    <row r="505" spans="1:13" s="88" customFormat="1" ht="16.5" customHeight="1">
      <c r="A505" s="496" t="s">
        <v>5785</v>
      </c>
      <c r="B505" s="496"/>
      <c r="C505" s="493" t="s">
        <v>4546</v>
      </c>
      <c r="D505" s="493"/>
      <c r="E505" s="493"/>
      <c r="F505" s="493"/>
      <c r="G505" s="493"/>
      <c r="H505" s="493"/>
      <c r="I505" s="493"/>
      <c r="J505" s="493"/>
      <c r="K505" s="493"/>
      <c r="L505" s="493"/>
      <c r="M505" s="493"/>
    </row>
    <row r="506" spans="1:13" s="88" customFormat="1" ht="16.5" customHeight="1">
      <c r="A506" s="89" t="s">
        <v>1223</v>
      </c>
      <c r="B506" s="92" t="s">
        <v>4547</v>
      </c>
      <c r="C506" s="493" t="s">
        <v>4548</v>
      </c>
      <c r="D506" s="493"/>
      <c r="E506" s="493"/>
      <c r="F506" s="493"/>
      <c r="G506" s="493"/>
      <c r="H506" s="493"/>
      <c r="I506" s="493"/>
      <c r="J506" s="493"/>
      <c r="K506" s="493"/>
      <c r="L506" s="493"/>
      <c r="M506" s="493"/>
    </row>
    <row r="507" spans="1:13" s="88" customFormat="1" ht="16.5" customHeight="1">
      <c r="A507" s="89"/>
      <c r="B507" s="92" t="s">
        <v>4537</v>
      </c>
      <c r="C507" s="493" t="s">
        <v>4538</v>
      </c>
      <c r="D507" s="493"/>
      <c r="E507" s="493"/>
      <c r="F507" s="493"/>
      <c r="G507" s="493"/>
      <c r="H507" s="493"/>
      <c r="I507" s="493"/>
      <c r="J507" s="493"/>
      <c r="K507" s="493"/>
      <c r="L507" s="493"/>
      <c r="M507" s="493"/>
    </row>
    <row r="508" spans="1:13" s="88" customFormat="1" ht="16.5" customHeight="1">
      <c r="A508" s="89"/>
      <c r="B508" s="90"/>
      <c r="C508" s="493"/>
      <c r="D508" s="493"/>
      <c r="E508" s="493"/>
      <c r="F508" s="493"/>
      <c r="G508" s="493"/>
      <c r="H508" s="493"/>
      <c r="I508" s="493"/>
      <c r="J508" s="493"/>
      <c r="K508" s="493"/>
      <c r="L508" s="493"/>
      <c r="M508" s="493"/>
    </row>
    <row r="509" spans="1:13" s="88" customFormat="1" ht="16.5" customHeight="1">
      <c r="A509" s="89" t="s">
        <v>1228</v>
      </c>
      <c r="B509" s="493"/>
      <c r="C509" s="493"/>
      <c r="D509" s="493"/>
      <c r="E509" s="493"/>
      <c r="F509" s="493"/>
      <c r="G509" s="493"/>
      <c r="H509" s="493"/>
      <c r="I509" s="493"/>
      <c r="J509" s="493"/>
      <c r="K509" s="493"/>
      <c r="L509" s="493"/>
      <c r="M509" s="493"/>
    </row>
    <row r="510" spans="1:13" ht="61.5" customHeight="1">
      <c r="A510" s="89" t="s">
        <v>1229</v>
      </c>
      <c r="B510" s="673" t="s">
        <v>4549</v>
      </c>
      <c r="C510" s="673"/>
      <c r="D510" s="673"/>
      <c r="E510" s="673"/>
      <c r="F510" s="673"/>
      <c r="G510" s="673"/>
      <c r="H510" s="673"/>
      <c r="I510" s="673"/>
      <c r="J510" s="673"/>
      <c r="K510" s="673"/>
      <c r="L510" s="673"/>
      <c r="M510" s="673"/>
    </row>
    <row r="511" spans="1:13" ht="21" customHeight="1">
      <c r="B511" s="494" t="s">
        <v>2863</v>
      </c>
      <c r="C511" s="494"/>
      <c r="D511" s="494"/>
      <c r="E511" s="494"/>
      <c r="F511" s="494"/>
      <c r="G511" s="494"/>
      <c r="H511" s="494"/>
      <c r="I511" s="494"/>
      <c r="J511" s="494"/>
      <c r="K511" s="494"/>
      <c r="L511" s="495"/>
    </row>
    <row r="512" spans="1:13" s="93" customFormat="1" ht="16.5" customHeight="1"/>
    <row r="513" spans="1:6" s="93" customFormat="1" ht="16.5" customHeight="1">
      <c r="A513" s="94" t="s">
        <v>1232</v>
      </c>
      <c r="B513" s="93" t="s">
        <v>1773</v>
      </c>
    </row>
    <row r="514" spans="1:6" ht="16.5" customHeight="1">
      <c r="F514" s="93"/>
    </row>
    <row r="515" spans="1:6" ht="16.5" customHeight="1">
      <c r="F515" s="93" t="s">
        <v>3592</v>
      </c>
    </row>
    <row r="516" spans="1:6" ht="16.5" customHeight="1">
      <c r="B516" s="93" t="s">
        <v>563</v>
      </c>
      <c r="C516" s="93"/>
      <c r="D516" s="93"/>
      <c r="E516" s="93"/>
      <c r="F516" s="93"/>
    </row>
    <row r="517" spans="1:6" ht="16.5" customHeight="1">
      <c r="B517" s="93" t="s">
        <v>4542</v>
      </c>
      <c r="C517" s="93" t="s">
        <v>4541</v>
      </c>
      <c r="D517" s="93" t="s">
        <v>4550</v>
      </c>
      <c r="E517" s="104" t="s">
        <v>1238</v>
      </c>
      <c r="F517" s="93"/>
    </row>
    <row r="518" spans="1:6" ht="16.5" customHeight="1">
      <c r="B518" s="162">
        <v>2.01E-2</v>
      </c>
      <c r="C518" s="93">
        <v>2</v>
      </c>
      <c r="D518" s="162">
        <f>NOMINAL(B518,C518)</f>
        <v>2.0000000000000018E-2</v>
      </c>
      <c r="E518" s="108" t="s">
        <v>4551</v>
      </c>
      <c r="F518" s="93"/>
    </row>
    <row r="519" spans="1:6" ht="16.5" customHeight="1">
      <c r="B519" s="93"/>
      <c r="C519" s="93"/>
      <c r="D519" s="93"/>
      <c r="E519" s="93"/>
      <c r="F519" s="93"/>
    </row>
    <row r="520" spans="1:6" ht="16.5" customHeight="1">
      <c r="B520" s="93"/>
      <c r="C520" s="93"/>
      <c r="D520" s="93"/>
      <c r="E520" s="93"/>
      <c r="F520" s="93"/>
    </row>
    <row r="521" spans="1:6" ht="16.5" customHeight="1">
      <c r="B521" s="93"/>
      <c r="C521" s="93"/>
      <c r="D521" s="93"/>
      <c r="E521" s="93"/>
      <c r="F521" s="93"/>
    </row>
    <row r="522" spans="1:6" ht="16.5" customHeight="1">
      <c r="B522" s="93"/>
      <c r="C522" s="93"/>
      <c r="D522" s="93"/>
      <c r="E522" s="93"/>
      <c r="F522" s="93"/>
    </row>
    <row r="523" spans="1:6">
      <c r="F523" s="93"/>
    </row>
    <row r="524" spans="1:6">
      <c r="F524" s="93"/>
    </row>
    <row r="600" spans="1:13" s="88" customFormat="1" ht="26.25" customHeight="1">
      <c r="A600" s="498" t="s">
        <v>1050</v>
      </c>
      <c r="B600" s="498"/>
      <c r="C600" s="499"/>
      <c r="D600" s="87"/>
      <c r="E600" s="500" t="str">
        <f>HYPERLINK("#目录!A361","跳转回到目录页")</f>
        <v>跳转回到目录页</v>
      </c>
      <c r="F600" s="501"/>
    </row>
    <row r="601" spans="1:13" s="88" customFormat="1" ht="26.25" customHeight="1">
      <c r="A601" s="502" t="s">
        <v>1216</v>
      </c>
      <c r="B601" s="502"/>
      <c r="C601" s="503" t="s">
        <v>565</v>
      </c>
      <c r="D601" s="503"/>
      <c r="E601" s="503"/>
      <c r="F601" s="503"/>
      <c r="G601" s="503"/>
      <c r="H601" s="503"/>
      <c r="I601" s="503"/>
      <c r="J601" s="503"/>
      <c r="K601" s="503"/>
      <c r="L601" s="503"/>
      <c r="M601" s="503"/>
    </row>
    <row r="602" spans="1:13" s="88" customFormat="1" ht="16.5" customHeight="1">
      <c r="A602" s="496" t="s">
        <v>1217</v>
      </c>
      <c r="B602" s="496"/>
      <c r="C602" s="493" t="s">
        <v>4552</v>
      </c>
      <c r="D602" s="493"/>
      <c r="E602" s="493"/>
      <c r="F602" s="493"/>
      <c r="G602" s="493"/>
      <c r="H602" s="493"/>
      <c r="I602" s="493"/>
      <c r="J602" s="493"/>
      <c r="K602" s="493"/>
      <c r="L602" s="493"/>
      <c r="M602" s="493"/>
    </row>
    <row r="603" spans="1:13" s="88" customFormat="1" ht="16.5" customHeight="1">
      <c r="A603" s="496" t="s">
        <v>5786</v>
      </c>
      <c r="B603" s="496"/>
      <c r="C603" s="497" t="s">
        <v>565</v>
      </c>
      <c r="D603" s="497"/>
      <c r="E603" s="497"/>
      <c r="F603" s="497"/>
      <c r="G603" s="497"/>
      <c r="H603" s="497"/>
      <c r="I603" s="497"/>
      <c r="J603" s="497"/>
      <c r="K603" s="497"/>
      <c r="L603" s="497"/>
      <c r="M603" s="497"/>
    </row>
    <row r="604" spans="1:13" s="88" customFormat="1" ht="16.5" customHeight="1">
      <c r="A604" s="496" t="s">
        <v>1220</v>
      </c>
      <c r="B604" s="496"/>
      <c r="C604" s="493" t="s">
        <v>4553</v>
      </c>
      <c r="D604" s="493"/>
      <c r="E604" s="493"/>
      <c r="F604" s="493"/>
      <c r="G604" s="493"/>
      <c r="H604" s="493"/>
      <c r="I604" s="493"/>
      <c r="J604" s="493"/>
      <c r="K604" s="493"/>
      <c r="L604" s="493"/>
      <c r="M604" s="493"/>
    </row>
    <row r="605" spans="1:13" s="88" customFormat="1" ht="16.5" customHeight="1">
      <c r="A605" s="496" t="s">
        <v>5785</v>
      </c>
      <c r="B605" s="496"/>
      <c r="C605" s="493" t="s">
        <v>4554</v>
      </c>
      <c r="D605" s="493"/>
      <c r="E605" s="493"/>
      <c r="F605" s="493"/>
      <c r="G605" s="493"/>
      <c r="H605" s="493"/>
      <c r="I605" s="493"/>
      <c r="J605" s="493"/>
      <c r="K605" s="493"/>
      <c r="L605" s="493"/>
      <c r="M605" s="493"/>
    </row>
    <row r="606" spans="1:13" s="88" customFormat="1" ht="16.5" customHeight="1">
      <c r="A606" s="89" t="s">
        <v>1223</v>
      </c>
      <c r="B606" s="92" t="s">
        <v>4399</v>
      </c>
      <c r="C606" s="493" t="s">
        <v>4555</v>
      </c>
      <c r="D606" s="493"/>
      <c r="E606" s="493"/>
      <c r="F606" s="493"/>
      <c r="G606" s="493"/>
      <c r="H606" s="493"/>
      <c r="I606" s="493"/>
      <c r="J606" s="493"/>
      <c r="K606" s="493"/>
      <c r="L606" s="493"/>
      <c r="M606" s="493"/>
    </row>
    <row r="607" spans="1:13" s="88" customFormat="1" ht="24.75" customHeight="1">
      <c r="A607" s="89"/>
      <c r="B607" s="92" t="s">
        <v>4556</v>
      </c>
      <c r="C607" s="493" t="s">
        <v>4557</v>
      </c>
      <c r="D607" s="493"/>
      <c r="E607" s="493"/>
      <c r="F607" s="493"/>
      <c r="G607" s="493"/>
      <c r="H607" s="493"/>
      <c r="I607" s="493"/>
      <c r="J607" s="493"/>
      <c r="K607" s="493"/>
      <c r="L607" s="493"/>
      <c r="M607" s="493"/>
    </row>
    <row r="608" spans="1:13" s="88" customFormat="1" ht="16.5" customHeight="1">
      <c r="A608" s="89"/>
      <c r="B608" s="90"/>
      <c r="C608" s="493"/>
      <c r="D608" s="493"/>
      <c r="E608" s="493"/>
      <c r="F608" s="493"/>
      <c r="G608" s="493"/>
      <c r="H608" s="493"/>
      <c r="I608" s="493"/>
      <c r="J608" s="493"/>
      <c r="K608" s="493"/>
      <c r="L608" s="493"/>
      <c r="M608" s="493"/>
    </row>
    <row r="609" spans="1:13" s="88" customFormat="1" ht="49.5" customHeight="1">
      <c r="A609" s="89" t="s">
        <v>1228</v>
      </c>
      <c r="B609" s="493" t="s">
        <v>4558</v>
      </c>
      <c r="C609" s="493"/>
      <c r="D609" s="493"/>
      <c r="E609" s="493"/>
      <c r="F609" s="493"/>
      <c r="G609" s="493"/>
      <c r="H609" s="493"/>
      <c r="I609" s="493"/>
      <c r="J609" s="493"/>
      <c r="K609" s="493"/>
      <c r="L609" s="493"/>
      <c r="M609" s="493"/>
    </row>
    <row r="610" spans="1:13" ht="24.75" customHeight="1">
      <c r="A610" s="89" t="s">
        <v>1229</v>
      </c>
      <c r="B610" s="673" t="s">
        <v>4559</v>
      </c>
      <c r="C610" s="673"/>
      <c r="D610" s="673"/>
      <c r="E610" s="673"/>
      <c r="F610" s="673"/>
      <c r="G610" s="673"/>
      <c r="H610" s="673"/>
      <c r="I610" s="673"/>
      <c r="J610" s="673"/>
      <c r="K610" s="673"/>
      <c r="L610" s="673"/>
      <c r="M610" s="673"/>
    </row>
    <row r="611" spans="1:13" ht="21" customHeight="1">
      <c r="B611" s="494" t="s">
        <v>2863</v>
      </c>
      <c r="C611" s="494"/>
      <c r="D611" s="494"/>
      <c r="E611" s="494"/>
      <c r="F611" s="494"/>
      <c r="G611" s="494"/>
      <c r="H611" s="494"/>
      <c r="I611" s="494"/>
      <c r="J611" s="494"/>
      <c r="K611" s="494"/>
      <c r="L611" s="495"/>
    </row>
    <row r="612" spans="1:13" s="93" customFormat="1" ht="16.5" customHeight="1"/>
    <row r="613" spans="1:13" s="93" customFormat="1" ht="16.5" customHeight="1">
      <c r="A613" s="94" t="s">
        <v>1232</v>
      </c>
      <c r="B613" s="93" t="s">
        <v>1773</v>
      </c>
    </row>
    <row r="614" spans="1:13" ht="16.5" customHeight="1">
      <c r="F614" s="93"/>
    </row>
    <row r="615" spans="1:13" ht="16.5" customHeight="1">
      <c r="B615" s="93"/>
      <c r="C615" s="93"/>
      <c r="D615" s="93"/>
      <c r="E615" s="93"/>
      <c r="F615" s="93"/>
      <c r="G615" s="93"/>
      <c r="H615" s="93"/>
    </row>
    <row r="616" spans="1:13" ht="16.5" customHeight="1">
      <c r="B616" s="93" t="s">
        <v>4560</v>
      </c>
      <c r="C616" s="93"/>
      <c r="D616" s="93"/>
      <c r="E616" s="93"/>
      <c r="F616" s="93"/>
      <c r="G616" s="93"/>
      <c r="H616" s="93"/>
    </row>
    <row r="617" spans="1:13" ht="16.5" customHeight="1">
      <c r="B617" s="94" t="s">
        <v>4561</v>
      </c>
      <c r="C617" s="518" t="s">
        <v>4562</v>
      </c>
      <c r="D617" s="518"/>
      <c r="E617" s="104" t="s">
        <v>1238</v>
      </c>
      <c r="F617" s="93"/>
      <c r="G617" s="93"/>
      <c r="H617" s="93"/>
    </row>
    <row r="618" spans="1:13" ht="16.5" customHeight="1">
      <c r="B618" s="160">
        <v>0.1</v>
      </c>
      <c r="C618" s="676">
        <f>NPV(B618,D620:D624)</f>
        <v>27693.091008438016</v>
      </c>
      <c r="D618" s="676"/>
      <c r="E618" s="108" t="s">
        <v>4563</v>
      </c>
      <c r="F618" s="93"/>
      <c r="G618" s="93"/>
      <c r="H618" s="93"/>
    </row>
    <row r="619" spans="1:13" ht="16.5" customHeight="1">
      <c r="B619" s="93"/>
      <c r="C619" s="93"/>
      <c r="D619" s="93"/>
      <c r="E619" s="93"/>
      <c r="F619" s="93"/>
      <c r="G619" s="93"/>
      <c r="H619" s="93"/>
    </row>
    <row r="620" spans="1:13" ht="16.5" customHeight="1">
      <c r="B620" s="518" t="s">
        <v>4564</v>
      </c>
      <c r="C620" s="93" t="s">
        <v>4565</v>
      </c>
      <c r="D620" s="93">
        <v>-1000000</v>
      </c>
      <c r="E620" s="93"/>
      <c r="F620" s="93"/>
      <c r="G620" s="93"/>
      <c r="H620" s="93"/>
    </row>
    <row r="621" spans="1:13" ht="16.5" customHeight="1">
      <c r="B621" s="518"/>
      <c r="C621" s="93">
        <v>1</v>
      </c>
      <c r="D621" s="93">
        <v>200000</v>
      </c>
      <c r="E621" s="93"/>
      <c r="F621" s="93"/>
    </row>
    <row r="622" spans="1:13" ht="16.5" customHeight="1">
      <c r="B622" s="518"/>
      <c r="C622" s="93">
        <v>2</v>
      </c>
      <c r="D622" s="93">
        <v>250000</v>
      </c>
      <c r="E622" s="93"/>
      <c r="F622" s="93"/>
    </row>
    <row r="623" spans="1:13" ht="16.5" customHeight="1">
      <c r="B623" s="518"/>
      <c r="C623" s="93">
        <v>3</v>
      </c>
      <c r="D623" s="93">
        <v>400000</v>
      </c>
      <c r="E623" s="93"/>
      <c r="F623" s="93"/>
    </row>
    <row r="624" spans="1:13" ht="16.5" customHeight="1">
      <c r="B624" s="518"/>
      <c r="C624" s="93">
        <v>4</v>
      </c>
      <c r="D624" s="93">
        <v>500000</v>
      </c>
      <c r="E624" s="93"/>
      <c r="F624" s="93"/>
    </row>
    <row r="625" spans="2:6" ht="16.5" customHeight="1">
      <c r="B625" s="93"/>
      <c r="C625" s="93"/>
      <c r="D625" s="93"/>
      <c r="E625" s="93"/>
      <c r="F625" s="93"/>
    </row>
    <row r="626" spans="2:6" ht="16.5" customHeight="1">
      <c r="B626" s="93"/>
      <c r="C626" s="93"/>
      <c r="D626" s="93"/>
      <c r="E626" s="93"/>
      <c r="F626" s="93"/>
    </row>
    <row r="627" spans="2:6">
      <c r="B627" s="93"/>
      <c r="C627" s="93"/>
      <c r="D627" s="93"/>
      <c r="E627" s="93"/>
      <c r="F627" s="93"/>
    </row>
    <row r="628" spans="2:6">
      <c r="B628" s="93"/>
      <c r="C628" s="93"/>
      <c r="D628" s="93"/>
      <c r="E628" s="93"/>
      <c r="F628" s="93"/>
    </row>
    <row r="629" spans="2:6">
      <c r="B629" s="93"/>
      <c r="C629" s="93"/>
      <c r="D629" s="93"/>
      <c r="E629" s="93"/>
      <c r="F629" s="93"/>
    </row>
    <row r="630" spans="2:6">
      <c r="B630" s="93"/>
      <c r="C630" s="93"/>
      <c r="D630" s="93"/>
      <c r="E630" s="93"/>
      <c r="F630" s="93"/>
    </row>
    <row r="631" spans="2:6">
      <c r="B631" s="93"/>
      <c r="C631" s="93"/>
      <c r="D631" s="93"/>
      <c r="E631" s="93"/>
      <c r="F631" s="93"/>
    </row>
    <row r="632" spans="2:6">
      <c r="F632" s="93"/>
    </row>
    <row r="633" spans="2:6">
      <c r="F633" s="93"/>
    </row>
    <row r="634" spans="2:6">
      <c r="F634" s="93"/>
    </row>
    <row r="635" spans="2:6">
      <c r="F635" s="93"/>
    </row>
    <row r="636" spans="2:6">
      <c r="F636" s="93"/>
    </row>
    <row r="637" spans="2:6">
      <c r="F637" s="93"/>
    </row>
    <row r="638" spans="2:6">
      <c r="F638" s="93"/>
    </row>
    <row r="639" spans="2:6">
      <c r="F639" s="93"/>
    </row>
    <row r="700" spans="1:13" s="88" customFormat="1" ht="26.25" customHeight="1">
      <c r="A700" s="498" t="s">
        <v>1198</v>
      </c>
      <c r="B700" s="498"/>
      <c r="C700" s="499"/>
      <c r="D700" s="87"/>
      <c r="E700" s="500" t="str">
        <f>HYPERLINK("#目录!A362","跳转回到目录页")</f>
        <v>跳转回到目录页</v>
      </c>
      <c r="F700" s="501"/>
    </row>
    <row r="701" spans="1:13" s="88" customFormat="1" ht="26.25" customHeight="1">
      <c r="A701" s="502" t="s">
        <v>1216</v>
      </c>
      <c r="B701" s="502"/>
      <c r="C701" s="503" t="s">
        <v>566</v>
      </c>
      <c r="D701" s="503"/>
      <c r="E701" s="503"/>
      <c r="F701" s="503"/>
      <c r="G701" s="503"/>
      <c r="H701" s="503"/>
      <c r="I701" s="503"/>
      <c r="J701" s="503"/>
      <c r="K701" s="503"/>
      <c r="L701" s="503"/>
      <c r="M701" s="503"/>
    </row>
    <row r="702" spans="1:13" s="88" customFormat="1" ht="16.5" customHeight="1">
      <c r="A702" s="496" t="s">
        <v>1217</v>
      </c>
      <c r="B702" s="496"/>
      <c r="C702" s="493" t="s">
        <v>4566</v>
      </c>
      <c r="D702" s="493"/>
      <c r="E702" s="493"/>
      <c r="F702" s="493"/>
      <c r="G702" s="493"/>
      <c r="H702" s="493"/>
      <c r="I702" s="493"/>
      <c r="J702" s="493"/>
      <c r="K702" s="493"/>
      <c r="L702" s="493"/>
      <c r="M702" s="493"/>
    </row>
    <row r="703" spans="1:13" s="88" customFormat="1" ht="16.5" customHeight="1">
      <c r="A703" s="496" t="s">
        <v>5786</v>
      </c>
      <c r="B703" s="496"/>
      <c r="C703" s="497" t="s">
        <v>566</v>
      </c>
      <c r="D703" s="497"/>
      <c r="E703" s="497"/>
      <c r="F703" s="497"/>
      <c r="G703" s="497"/>
      <c r="H703" s="497"/>
      <c r="I703" s="497"/>
      <c r="J703" s="497"/>
      <c r="K703" s="497"/>
      <c r="L703" s="497"/>
      <c r="M703" s="497"/>
    </row>
    <row r="704" spans="1:13" s="88" customFormat="1" ht="16.5" customHeight="1">
      <c r="A704" s="496" t="s">
        <v>1220</v>
      </c>
      <c r="B704" s="496"/>
      <c r="C704" s="493" t="s">
        <v>4567</v>
      </c>
      <c r="D704" s="493"/>
      <c r="E704" s="493"/>
      <c r="F704" s="493"/>
      <c r="G704" s="493"/>
      <c r="H704" s="493"/>
      <c r="I704" s="493"/>
      <c r="J704" s="493"/>
      <c r="K704" s="493"/>
      <c r="L704" s="493"/>
      <c r="M704" s="493"/>
    </row>
    <row r="705" spans="1:13" s="88" customFormat="1" ht="16.5" customHeight="1">
      <c r="A705" s="496" t="s">
        <v>5785</v>
      </c>
      <c r="B705" s="496"/>
      <c r="C705" s="493" t="s">
        <v>4568</v>
      </c>
      <c r="D705" s="493"/>
      <c r="E705" s="493"/>
      <c r="F705" s="493"/>
      <c r="G705" s="493"/>
      <c r="H705" s="493"/>
      <c r="I705" s="493"/>
      <c r="J705" s="493"/>
      <c r="K705" s="493"/>
      <c r="L705" s="493"/>
      <c r="M705" s="493"/>
    </row>
    <row r="706" spans="1:13" s="88" customFormat="1" ht="16.5" customHeight="1">
      <c r="A706" s="89" t="s">
        <v>1223</v>
      </c>
      <c r="B706" s="92" t="s">
        <v>4399</v>
      </c>
      <c r="C706" s="493" t="s">
        <v>4569</v>
      </c>
      <c r="D706" s="493"/>
      <c r="E706" s="493"/>
      <c r="F706" s="493"/>
      <c r="G706" s="493"/>
      <c r="H706" s="493"/>
      <c r="I706" s="493"/>
      <c r="J706" s="493"/>
      <c r="K706" s="493"/>
      <c r="L706" s="493"/>
      <c r="M706" s="493"/>
    </row>
    <row r="707" spans="1:13" s="88" customFormat="1" ht="24.75" customHeight="1">
      <c r="A707" s="89"/>
      <c r="B707" s="92" t="s">
        <v>4570</v>
      </c>
      <c r="C707" s="493" t="s">
        <v>4571</v>
      </c>
      <c r="D707" s="493"/>
      <c r="E707" s="493"/>
      <c r="F707" s="493"/>
      <c r="G707" s="493"/>
      <c r="H707" s="493"/>
      <c r="I707" s="493"/>
      <c r="J707" s="493"/>
      <c r="K707" s="493"/>
      <c r="L707" s="493"/>
      <c r="M707" s="493"/>
    </row>
    <row r="708" spans="1:13" s="88" customFormat="1" ht="16.5" customHeight="1">
      <c r="A708" s="89"/>
      <c r="B708" s="90" t="s">
        <v>4572</v>
      </c>
      <c r="C708" s="493" t="s">
        <v>4573</v>
      </c>
      <c r="D708" s="493"/>
      <c r="E708" s="493"/>
      <c r="F708" s="493"/>
      <c r="G708" s="493"/>
      <c r="H708" s="493"/>
      <c r="I708" s="493"/>
      <c r="J708" s="493"/>
      <c r="K708" s="493"/>
      <c r="L708" s="493"/>
      <c r="M708" s="493"/>
    </row>
    <row r="709" spans="1:13" s="88" customFormat="1" ht="16.5" customHeight="1">
      <c r="A709" s="89" t="s">
        <v>1228</v>
      </c>
      <c r="B709" s="493"/>
      <c r="C709" s="493"/>
      <c r="D709" s="493"/>
      <c r="E709" s="493"/>
      <c r="F709" s="493"/>
      <c r="G709" s="493"/>
      <c r="H709" s="493"/>
      <c r="I709" s="493"/>
      <c r="J709" s="493"/>
      <c r="K709" s="493"/>
      <c r="L709" s="493"/>
      <c r="M709" s="493"/>
    </row>
    <row r="710" spans="1:13" ht="97.5" customHeight="1">
      <c r="A710" s="89" t="s">
        <v>1229</v>
      </c>
      <c r="B710" s="673" t="s">
        <v>4574</v>
      </c>
      <c r="C710" s="673"/>
      <c r="D710" s="673"/>
      <c r="E710" s="673"/>
      <c r="F710" s="673"/>
      <c r="G710" s="673"/>
      <c r="H710" s="673"/>
      <c r="I710" s="673"/>
      <c r="J710" s="673"/>
      <c r="K710" s="673"/>
      <c r="L710" s="673"/>
      <c r="M710" s="673"/>
    </row>
    <row r="711" spans="1:13" ht="21" customHeight="1">
      <c r="B711" s="494" t="s">
        <v>2863</v>
      </c>
      <c r="C711" s="494"/>
      <c r="D711" s="494"/>
      <c r="E711" s="494"/>
      <c r="F711" s="494"/>
      <c r="G711" s="494"/>
      <c r="H711" s="494"/>
      <c r="I711" s="494"/>
      <c r="J711" s="494"/>
      <c r="K711" s="494"/>
      <c r="L711" s="495"/>
    </row>
    <row r="712" spans="1:13" s="93" customFormat="1" ht="16.5" customHeight="1"/>
    <row r="713" spans="1:13" s="93" customFormat="1" ht="16.5" customHeight="1">
      <c r="A713" s="94" t="s">
        <v>1232</v>
      </c>
      <c r="B713" s="93" t="s">
        <v>1773</v>
      </c>
    </row>
    <row r="714" spans="1:13" ht="16.5" customHeight="1">
      <c r="B714" s="93"/>
      <c r="C714" s="93"/>
      <c r="D714" s="93"/>
      <c r="E714" s="93"/>
      <c r="F714" s="93"/>
      <c r="G714" s="93"/>
    </row>
    <row r="715" spans="1:13" ht="16.5" customHeight="1">
      <c r="B715" s="93"/>
      <c r="C715" s="93"/>
      <c r="D715" s="93"/>
      <c r="E715" s="93"/>
      <c r="F715" s="93"/>
      <c r="G715" s="93"/>
    </row>
    <row r="716" spans="1:13" ht="16.5" customHeight="1">
      <c r="B716" s="93" t="s">
        <v>564</v>
      </c>
      <c r="C716" s="94" t="s">
        <v>4562</v>
      </c>
      <c r="D716" s="104" t="s">
        <v>1238</v>
      </c>
      <c r="E716" s="93"/>
      <c r="F716" s="93"/>
      <c r="G716" s="93"/>
    </row>
    <row r="717" spans="1:13" ht="16.5" customHeight="1">
      <c r="B717" s="160">
        <v>0.1</v>
      </c>
      <c r="C717" s="93">
        <f>XNPV(B717,D719:D723,E719:E723)</f>
        <v>262302.94964633486</v>
      </c>
      <c r="D717" s="108" t="s">
        <v>4575</v>
      </c>
      <c r="E717" s="93"/>
      <c r="F717" s="93"/>
      <c r="G717" s="93"/>
    </row>
    <row r="718" spans="1:13" ht="16.5" customHeight="1">
      <c r="B718" s="93"/>
      <c r="C718" s="93"/>
      <c r="D718" s="93"/>
      <c r="E718" s="93"/>
      <c r="F718" s="93"/>
      <c r="G718" s="93"/>
    </row>
    <row r="719" spans="1:13" ht="16.5" customHeight="1">
      <c r="B719" s="518" t="s">
        <v>4564</v>
      </c>
      <c r="C719" s="94" t="s">
        <v>4565</v>
      </c>
      <c r="D719" s="93">
        <v>-1000000</v>
      </c>
      <c r="E719" s="167">
        <v>40634</v>
      </c>
      <c r="F719" s="93"/>
      <c r="G719" s="93"/>
    </row>
    <row r="720" spans="1:13" ht="16.5" customHeight="1">
      <c r="B720" s="518"/>
      <c r="C720" s="93">
        <v>1</v>
      </c>
      <c r="D720" s="93">
        <v>200000</v>
      </c>
      <c r="E720" s="167">
        <v>40786</v>
      </c>
      <c r="F720" s="93"/>
      <c r="G720" s="93"/>
    </row>
    <row r="721" spans="2:7" ht="16.5" customHeight="1">
      <c r="B721" s="518"/>
      <c r="C721" s="93">
        <v>2</v>
      </c>
      <c r="D721" s="93">
        <v>250000</v>
      </c>
      <c r="E721" s="167">
        <v>40846</v>
      </c>
      <c r="F721" s="93"/>
      <c r="G721" s="93"/>
    </row>
    <row r="722" spans="2:7">
      <c r="B722" s="518"/>
      <c r="C722" s="93">
        <v>3</v>
      </c>
      <c r="D722" s="93">
        <v>400000</v>
      </c>
      <c r="E722" s="167">
        <v>40878</v>
      </c>
      <c r="F722" s="93"/>
      <c r="G722" s="93"/>
    </row>
    <row r="723" spans="2:7">
      <c r="B723" s="518"/>
      <c r="C723" s="93">
        <v>4</v>
      </c>
      <c r="D723" s="93">
        <v>500000</v>
      </c>
      <c r="E723" s="167">
        <v>40968</v>
      </c>
    </row>
  </sheetData>
  <mergeCells count="159">
    <mergeCell ref="A1:C1"/>
    <mergeCell ref="E1:F1"/>
    <mergeCell ref="A2:B2"/>
    <mergeCell ref="C2:M2"/>
    <mergeCell ref="A3:B3"/>
    <mergeCell ref="C3:M3"/>
    <mergeCell ref="C7:M7"/>
    <mergeCell ref="C8:M8"/>
    <mergeCell ref="C9:M9"/>
    <mergeCell ref="C10:M10"/>
    <mergeCell ref="C11:M11"/>
    <mergeCell ref="B12:M12"/>
    <mergeCell ref="A4:B4"/>
    <mergeCell ref="C4:M4"/>
    <mergeCell ref="A5:B5"/>
    <mergeCell ref="C5:M5"/>
    <mergeCell ref="A6:B6"/>
    <mergeCell ref="C6:M6"/>
    <mergeCell ref="A102:B102"/>
    <mergeCell ref="C102:M102"/>
    <mergeCell ref="A103:B103"/>
    <mergeCell ref="C103:M103"/>
    <mergeCell ref="A104:B104"/>
    <mergeCell ref="C104:M104"/>
    <mergeCell ref="B13:M13"/>
    <mergeCell ref="B14:L14"/>
    <mergeCell ref="A100:C100"/>
    <mergeCell ref="E100:F100"/>
    <mergeCell ref="A101:B101"/>
    <mergeCell ref="C101:M101"/>
    <mergeCell ref="B110:M110"/>
    <mergeCell ref="B111:L111"/>
    <mergeCell ref="B116:D116"/>
    <mergeCell ref="A200:C200"/>
    <mergeCell ref="E200:F200"/>
    <mergeCell ref="A201:B201"/>
    <mergeCell ref="C201:M201"/>
    <mergeCell ref="A105:B105"/>
    <mergeCell ref="C105:M105"/>
    <mergeCell ref="C106:M106"/>
    <mergeCell ref="C107:M107"/>
    <mergeCell ref="C108:M108"/>
    <mergeCell ref="B109:M109"/>
    <mergeCell ref="A205:B205"/>
    <mergeCell ref="C205:M205"/>
    <mergeCell ref="C206:M206"/>
    <mergeCell ref="C207:M207"/>
    <mergeCell ref="C208:M208"/>
    <mergeCell ref="C209:M209"/>
    <mergeCell ref="A202:B202"/>
    <mergeCell ref="C202:M202"/>
    <mergeCell ref="A203:B203"/>
    <mergeCell ref="C203:M203"/>
    <mergeCell ref="A204:B204"/>
    <mergeCell ref="C204:M204"/>
    <mergeCell ref="A301:B301"/>
    <mergeCell ref="C301:M301"/>
    <mergeCell ref="A302:B302"/>
    <mergeCell ref="C302:M302"/>
    <mergeCell ref="A303:B303"/>
    <mergeCell ref="C303:M303"/>
    <mergeCell ref="C210:M210"/>
    <mergeCell ref="B211:M211"/>
    <mergeCell ref="B212:M212"/>
    <mergeCell ref="B213:L213"/>
    <mergeCell ref="B221:E221"/>
    <mergeCell ref="A300:C300"/>
    <mergeCell ref="E300:F300"/>
    <mergeCell ref="C308:M308"/>
    <mergeCell ref="C309:M309"/>
    <mergeCell ref="C310:M310"/>
    <mergeCell ref="C311:M311"/>
    <mergeCell ref="B312:M312"/>
    <mergeCell ref="B313:M313"/>
    <mergeCell ref="A304:B304"/>
    <mergeCell ref="C304:M304"/>
    <mergeCell ref="A305:B305"/>
    <mergeCell ref="C305:M305"/>
    <mergeCell ref="C306:M306"/>
    <mergeCell ref="C307:M307"/>
    <mergeCell ref="A402:B402"/>
    <mergeCell ref="C402:M402"/>
    <mergeCell ref="A403:B403"/>
    <mergeCell ref="C403:M403"/>
    <mergeCell ref="A404:B404"/>
    <mergeCell ref="C404:M404"/>
    <mergeCell ref="B314:L314"/>
    <mergeCell ref="B322:E322"/>
    <mergeCell ref="A400:C400"/>
    <mergeCell ref="E400:F400"/>
    <mergeCell ref="A401:B401"/>
    <mergeCell ref="C401:M401"/>
    <mergeCell ref="B410:M410"/>
    <mergeCell ref="B411:L411"/>
    <mergeCell ref="B416:D416"/>
    <mergeCell ref="A500:C500"/>
    <mergeCell ref="E500:F500"/>
    <mergeCell ref="A501:B501"/>
    <mergeCell ref="C501:M501"/>
    <mergeCell ref="A405:B405"/>
    <mergeCell ref="C405:M405"/>
    <mergeCell ref="C406:M406"/>
    <mergeCell ref="C407:M407"/>
    <mergeCell ref="C408:M408"/>
    <mergeCell ref="B409:M409"/>
    <mergeCell ref="A505:B505"/>
    <mergeCell ref="C505:M505"/>
    <mergeCell ref="C506:M506"/>
    <mergeCell ref="C507:M507"/>
    <mergeCell ref="C508:M508"/>
    <mergeCell ref="B509:M509"/>
    <mergeCell ref="A502:B502"/>
    <mergeCell ref="C502:M502"/>
    <mergeCell ref="A503:B503"/>
    <mergeCell ref="C503:M503"/>
    <mergeCell ref="A504:B504"/>
    <mergeCell ref="C504:M504"/>
    <mergeCell ref="A602:B602"/>
    <mergeCell ref="C602:M602"/>
    <mergeCell ref="A603:B603"/>
    <mergeCell ref="C603:M603"/>
    <mergeCell ref="A604:B604"/>
    <mergeCell ref="C604:M604"/>
    <mergeCell ref="B510:M510"/>
    <mergeCell ref="B511:L511"/>
    <mergeCell ref="A600:C600"/>
    <mergeCell ref="E600:F600"/>
    <mergeCell ref="A601:B601"/>
    <mergeCell ref="C601:M601"/>
    <mergeCell ref="B610:M610"/>
    <mergeCell ref="B611:L611"/>
    <mergeCell ref="C617:D617"/>
    <mergeCell ref="C618:D618"/>
    <mergeCell ref="A700:C700"/>
    <mergeCell ref="E700:F700"/>
    <mergeCell ref="A605:B605"/>
    <mergeCell ref="C605:M605"/>
    <mergeCell ref="C606:M606"/>
    <mergeCell ref="C607:M607"/>
    <mergeCell ref="C608:M608"/>
    <mergeCell ref="B609:M609"/>
    <mergeCell ref="C708:M708"/>
    <mergeCell ref="B709:M709"/>
    <mergeCell ref="B710:M710"/>
    <mergeCell ref="B711:L711"/>
    <mergeCell ref="B620:B624"/>
    <mergeCell ref="B719:B723"/>
    <mergeCell ref="A704:B704"/>
    <mergeCell ref="C704:M704"/>
    <mergeCell ref="A705:B705"/>
    <mergeCell ref="C705:M705"/>
    <mergeCell ref="C706:M706"/>
    <mergeCell ref="C707:M707"/>
    <mergeCell ref="A701:B701"/>
    <mergeCell ref="C701:M701"/>
    <mergeCell ref="A702:B702"/>
    <mergeCell ref="C702:M702"/>
    <mergeCell ref="A703:B703"/>
    <mergeCell ref="C703:M703"/>
  </mergeCells>
  <phoneticPr fontId="2" type="noConversion"/>
  <pageMargins left="0.75" right="0.75" top="1" bottom="1" header="0.5" footer="0.5"/>
  <headerFooter scaleWithDoc="0"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1"/>
  <dimension ref="A1:AV226"/>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969</v>
      </c>
      <c r="B1" s="498"/>
      <c r="C1" s="499"/>
      <c r="D1" s="87"/>
      <c r="E1" s="500" t="str">
        <f>HYPERLINK("#目录!A364","跳转回到目录页")</f>
        <v>跳转回到目录页</v>
      </c>
      <c r="F1" s="501"/>
    </row>
    <row r="2" spans="1:48" s="88" customFormat="1" ht="26.25" customHeight="1">
      <c r="A2" s="502" t="s">
        <v>1216</v>
      </c>
      <c r="B2" s="502"/>
      <c r="C2" s="503" t="s">
        <v>568</v>
      </c>
      <c r="D2" s="503"/>
      <c r="E2" s="503"/>
      <c r="F2" s="503"/>
      <c r="G2" s="503"/>
      <c r="H2" s="503"/>
      <c r="I2" s="503"/>
      <c r="J2" s="503"/>
      <c r="K2" s="503"/>
      <c r="L2" s="503"/>
      <c r="M2" s="503"/>
    </row>
    <row r="3" spans="1:48" s="88" customFormat="1" ht="24.75" customHeight="1">
      <c r="A3" s="496" t="s">
        <v>1217</v>
      </c>
      <c r="B3" s="496"/>
      <c r="C3" s="493" t="s">
        <v>4576</v>
      </c>
      <c r="D3" s="493"/>
      <c r="E3" s="493"/>
      <c r="F3" s="493"/>
      <c r="G3" s="493"/>
      <c r="H3" s="493"/>
      <c r="I3" s="493"/>
      <c r="J3" s="493"/>
      <c r="K3" s="493"/>
      <c r="L3" s="493"/>
      <c r="M3" s="493"/>
    </row>
    <row r="4" spans="1:48" s="88" customFormat="1" ht="16.5" customHeight="1">
      <c r="A4" s="496" t="s">
        <v>5786</v>
      </c>
      <c r="B4" s="496"/>
      <c r="C4" s="497" t="s">
        <v>568</v>
      </c>
      <c r="D4" s="497"/>
      <c r="E4" s="497"/>
      <c r="F4" s="497"/>
      <c r="G4" s="497"/>
      <c r="H4" s="497"/>
      <c r="I4" s="497"/>
      <c r="J4" s="497"/>
      <c r="K4" s="497"/>
      <c r="L4" s="497"/>
      <c r="M4" s="497"/>
    </row>
    <row r="5" spans="1:48" s="88" customFormat="1" ht="16.5" customHeight="1">
      <c r="A5" s="496" t="s">
        <v>1220</v>
      </c>
      <c r="B5" s="496"/>
      <c r="C5" s="493" t="s">
        <v>4577</v>
      </c>
      <c r="D5" s="493"/>
      <c r="E5" s="493"/>
      <c r="F5" s="493"/>
      <c r="G5" s="493"/>
      <c r="H5" s="493"/>
      <c r="I5" s="493"/>
      <c r="J5" s="493"/>
      <c r="K5" s="493"/>
      <c r="L5" s="493"/>
      <c r="M5" s="493"/>
    </row>
    <row r="6" spans="1:48" s="88" customFormat="1" ht="16.5" customHeight="1">
      <c r="A6" s="496" t="s">
        <v>5785</v>
      </c>
      <c r="B6" s="496"/>
      <c r="C6" s="493" t="s">
        <v>4578</v>
      </c>
      <c r="D6" s="493"/>
      <c r="E6" s="493"/>
      <c r="F6" s="493"/>
      <c r="G6" s="493"/>
      <c r="H6" s="493"/>
      <c r="I6" s="493"/>
      <c r="J6" s="493"/>
      <c r="K6" s="493"/>
      <c r="L6" s="493"/>
      <c r="M6" s="493"/>
    </row>
    <row r="7" spans="1:48" s="88" customFormat="1" ht="16.5" customHeight="1">
      <c r="A7" s="89" t="s">
        <v>1223</v>
      </c>
      <c r="B7" s="92" t="s">
        <v>4570</v>
      </c>
      <c r="C7" s="493" t="s">
        <v>4579</v>
      </c>
      <c r="D7" s="493"/>
      <c r="E7" s="493"/>
      <c r="F7" s="493"/>
      <c r="G7" s="493"/>
      <c r="H7" s="493"/>
      <c r="I7" s="493"/>
      <c r="J7" s="493"/>
      <c r="K7" s="493"/>
      <c r="L7" s="493"/>
      <c r="M7" s="493"/>
    </row>
    <row r="8" spans="1:48" s="88" customFormat="1" ht="16.5" customHeight="1">
      <c r="A8" s="89"/>
      <c r="B8" s="92" t="s">
        <v>4526</v>
      </c>
      <c r="C8" s="493" t="s">
        <v>4580</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11.75" customHeight="1">
      <c r="A10" s="89" t="s">
        <v>1228</v>
      </c>
      <c r="B10" s="674" t="s">
        <v>5807</v>
      </c>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567</v>
      </c>
      <c r="C17" s="518"/>
      <c r="D17" s="51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518" t="s">
        <v>4564</v>
      </c>
      <c r="C18" s="93" t="s">
        <v>4581</v>
      </c>
      <c r="D18" s="93">
        <v>-1000000</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518"/>
      <c r="C19" s="93">
        <v>1</v>
      </c>
      <c r="D19" s="93">
        <v>200000</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518"/>
      <c r="C20" s="93">
        <v>2</v>
      </c>
      <c r="D20" s="93">
        <v>250000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518"/>
      <c r="C21" s="93">
        <v>3</v>
      </c>
      <c r="D21" s="93">
        <v>400000</v>
      </c>
      <c r="E21" s="93" t="s">
        <v>3592</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518"/>
      <c r="C22" s="93">
        <v>4</v>
      </c>
      <c r="D22" s="93">
        <v>300000</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B23" s="518"/>
      <c r="C23" s="93">
        <v>5</v>
      </c>
      <c r="D23" s="93">
        <v>350000</v>
      </c>
      <c r="E23" s="104" t="s">
        <v>1238</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518" t="s">
        <v>4582</v>
      </c>
      <c r="C24" s="518"/>
      <c r="D24" s="162">
        <f>IRR(D18:D23)</f>
        <v>0.13893350495258461</v>
      </c>
      <c r="E24" s="108" t="s">
        <v>4583</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E27" s="93" t="s">
        <v>3592</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1196</v>
      </c>
      <c r="B100" s="498"/>
      <c r="C100" s="499"/>
      <c r="D100" s="87"/>
      <c r="E100" s="500" t="str">
        <f>HYPERLINK("#目录!A365","跳转回到目录页")</f>
        <v>跳转回到目录页</v>
      </c>
      <c r="F100" s="501"/>
    </row>
    <row r="101" spans="1:13" s="88" customFormat="1" ht="26.25" customHeight="1">
      <c r="A101" s="502" t="s">
        <v>1216</v>
      </c>
      <c r="B101" s="502"/>
      <c r="C101" s="503" t="s">
        <v>569</v>
      </c>
      <c r="D101" s="503"/>
      <c r="E101" s="503"/>
      <c r="F101" s="503"/>
      <c r="G101" s="503"/>
      <c r="H101" s="503"/>
      <c r="I101" s="503"/>
      <c r="J101" s="503"/>
      <c r="K101" s="503"/>
      <c r="L101" s="503"/>
      <c r="M101" s="503"/>
    </row>
    <row r="102" spans="1:13" s="88" customFormat="1" ht="16.5" customHeight="1">
      <c r="A102" s="496" t="s">
        <v>1217</v>
      </c>
      <c r="B102" s="496"/>
      <c r="C102" s="493" t="s">
        <v>4584</v>
      </c>
      <c r="D102" s="493"/>
      <c r="E102" s="493"/>
      <c r="F102" s="493"/>
      <c r="G102" s="493"/>
      <c r="H102" s="493"/>
      <c r="I102" s="493"/>
      <c r="J102" s="493"/>
      <c r="K102" s="493"/>
      <c r="L102" s="493"/>
      <c r="M102" s="493"/>
    </row>
    <row r="103" spans="1:13" s="88" customFormat="1" ht="16.5" customHeight="1">
      <c r="A103" s="496" t="s">
        <v>5786</v>
      </c>
      <c r="B103" s="496"/>
      <c r="C103" s="497" t="s">
        <v>569</v>
      </c>
      <c r="D103" s="497"/>
      <c r="E103" s="497"/>
      <c r="F103" s="497"/>
      <c r="G103" s="497"/>
      <c r="H103" s="497"/>
      <c r="I103" s="497"/>
      <c r="J103" s="497"/>
      <c r="K103" s="497"/>
      <c r="L103" s="497"/>
      <c r="M103" s="497"/>
    </row>
    <row r="104" spans="1:13" s="88" customFormat="1" ht="16.5" customHeight="1">
      <c r="A104" s="496" t="s">
        <v>1220</v>
      </c>
      <c r="B104" s="496"/>
      <c r="C104" s="493" t="s">
        <v>4585</v>
      </c>
      <c r="D104" s="493"/>
      <c r="E104" s="493"/>
      <c r="F104" s="493"/>
      <c r="G104" s="493"/>
      <c r="H104" s="493"/>
      <c r="I104" s="493"/>
      <c r="J104" s="493"/>
      <c r="K104" s="493"/>
      <c r="L104" s="493"/>
      <c r="M104" s="493"/>
    </row>
    <row r="105" spans="1:13" s="88" customFormat="1" ht="16.5" customHeight="1">
      <c r="A105" s="496" t="s">
        <v>5785</v>
      </c>
      <c r="B105" s="496"/>
      <c r="C105" s="493" t="s">
        <v>4586</v>
      </c>
      <c r="D105" s="493"/>
      <c r="E105" s="493"/>
      <c r="F105" s="493"/>
      <c r="G105" s="493"/>
      <c r="H105" s="493"/>
      <c r="I105" s="493"/>
      <c r="J105" s="493"/>
      <c r="K105" s="493"/>
      <c r="L105" s="493"/>
      <c r="M105" s="493"/>
    </row>
    <row r="106" spans="1:13" s="88" customFormat="1" ht="24.75" customHeight="1">
      <c r="A106" s="89" t="s">
        <v>1223</v>
      </c>
      <c r="B106" s="92" t="s">
        <v>4570</v>
      </c>
      <c r="C106" s="493" t="s">
        <v>4587</v>
      </c>
      <c r="D106" s="493"/>
      <c r="E106" s="493"/>
      <c r="F106" s="493"/>
      <c r="G106" s="493"/>
      <c r="H106" s="493"/>
      <c r="I106" s="493"/>
      <c r="J106" s="493"/>
      <c r="K106" s="493"/>
      <c r="L106" s="493"/>
      <c r="M106" s="493"/>
    </row>
    <row r="107" spans="1:13" s="88" customFormat="1" ht="24.75" customHeight="1">
      <c r="A107" s="89"/>
      <c r="B107" s="92" t="s">
        <v>4572</v>
      </c>
      <c r="C107" s="493" t="s">
        <v>4588</v>
      </c>
      <c r="D107" s="493"/>
      <c r="E107" s="493"/>
      <c r="F107" s="493"/>
      <c r="G107" s="493"/>
      <c r="H107" s="493"/>
      <c r="I107" s="493"/>
      <c r="J107" s="493"/>
      <c r="K107" s="493"/>
      <c r="L107" s="493"/>
      <c r="M107" s="493"/>
    </row>
    <row r="108" spans="1:13" s="88" customFormat="1" ht="16.5" customHeight="1">
      <c r="A108" s="89"/>
      <c r="B108" s="90" t="s">
        <v>4526</v>
      </c>
      <c r="C108" s="493" t="s">
        <v>4589</v>
      </c>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147" customHeight="1">
      <c r="A110" s="89" t="s">
        <v>1229</v>
      </c>
      <c r="B110" s="673" t="s">
        <v>4590</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c r="G113" s="4"/>
    </row>
    <row r="114" spans="1:7" ht="16.5" customHeight="1">
      <c r="B114" s="93"/>
      <c r="C114" s="93"/>
      <c r="D114" s="93"/>
      <c r="E114" s="93"/>
      <c r="F114" s="93"/>
      <c r="G114" s="93"/>
    </row>
    <row r="115" spans="1:7" ht="16.5" customHeight="1">
      <c r="B115" s="518" t="s">
        <v>4591</v>
      </c>
      <c r="C115" s="518"/>
      <c r="D115" s="518"/>
      <c r="E115" s="518"/>
      <c r="F115" s="93"/>
      <c r="G115" s="93"/>
    </row>
    <row r="116" spans="1:7" ht="16.5" customHeight="1">
      <c r="B116" s="518" t="s">
        <v>4564</v>
      </c>
      <c r="C116" s="94" t="s">
        <v>4565</v>
      </c>
      <c r="D116" s="93">
        <v>-1000000</v>
      </c>
      <c r="E116" s="167">
        <v>40634</v>
      </c>
      <c r="F116" s="93"/>
      <c r="G116" s="93"/>
    </row>
    <row r="117" spans="1:7" ht="16.5" customHeight="1">
      <c r="B117" s="518"/>
      <c r="C117" s="93">
        <v>1</v>
      </c>
      <c r="D117" s="93">
        <v>200000</v>
      </c>
      <c r="E117" s="167">
        <v>40786</v>
      </c>
      <c r="F117" s="93"/>
      <c r="G117" s="93"/>
    </row>
    <row r="118" spans="1:7" ht="16.5" customHeight="1">
      <c r="B118" s="518"/>
      <c r="C118" s="93">
        <v>2</v>
      </c>
      <c r="D118" s="93">
        <v>250000</v>
      </c>
      <c r="E118" s="167">
        <v>40846</v>
      </c>
      <c r="F118" s="93"/>
      <c r="G118" s="93"/>
    </row>
    <row r="119" spans="1:7" ht="16.5" customHeight="1">
      <c r="B119" s="518"/>
      <c r="C119" s="93">
        <v>3</v>
      </c>
      <c r="D119" s="93">
        <v>400000</v>
      </c>
      <c r="E119" s="167">
        <v>40878</v>
      </c>
      <c r="F119" s="93"/>
      <c r="G119" s="93"/>
    </row>
    <row r="120" spans="1:7" ht="16.5" customHeight="1">
      <c r="B120" s="518"/>
      <c r="C120" s="93">
        <v>4</v>
      </c>
      <c r="D120" s="93">
        <v>300000</v>
      </c>
      <c r="E120" s="167">
        <v>40968</v>
      </c>
      <c r="F120" s="93"/>
      <c r="G120" s="93"/>
    </row>
    <row r="121" spans="1:7" ht="16.5" customHeight="1">
      <c r="B121" s="93"/>
      <c r="C121" s="93">
        <v>5</v>
      </c>
      <c r="D121" s="93">
        <v>350000</v>
      </c>
      <c r="E121" s="148">
        <v>41029</v>
      </c>
      <c r="F121" s="93"/>
      <c r="G121" s="93"/>
    </row>
    <row r="122" spans="1:7" ht="16.5" customHeight="1">
      <c r="B122" s="518" t="s">
        <v>4582</v>
      </c>
      <c r="C122" s="518"/>
      <c r="D122" s="162">
        <f>XIRR(D116:D121,E116:E121)</f>
        <v>0.71449502706527723</v>
      </c>
      <c r="E122" s="104" t="s">
        <v>1238</v>
      </c>
      <c r="F122" s="108" t="s">
        <v>4592</v>
      </c>
      <c r="G122" s="93"/>
    </row>
    <row r="123" spans="1:7">
      <c r="B123" s="93"/>
      <c r="C123" s="93"/>
      <c r="D123" s="93"/>
      <c r="F123" s="93"/>
      <c r="G123" s="93"/>
    </row>
    <row r="133" spans="6:6">
      <c r="F133" s="93"/>
    </row>
    <row r="134" spans="6:6">
      <c r="F134" s="93"/>
    </row>
    <row r="135" spans="6:6">
      <c r="F135" s="93"/>
    </row>
    <row r="136" spans="6:6">
      <c r="F136" s="93"/>
    </row>
    <row r="137" spans="6:6">
      <c r="F137" s="93"/>
    </row>
    <row r="138" spans="6:6">
      <c r="F138" s="93"/>
    </row>
    <row r="139" spans="6:6">
      <c r="F139" s="93"/>
    </row>
    <row r="140" spans="6:6">
      <c r="F140" s="93"/>
    </row>
    <row r="141" spans="6:6">
      <c r="F141" s="93"/>
    </row>
    <row r="200" spans="1:13" s="88" customFormat="1" ht="26.25" customHeight="1">
      <c r="A200" s="498" t="s">
        <v>1026</v>
      </c>
      <c r="B200" s="498"/>
      <c r="C200" s="499"/>
      <c r="D200" s="87"/>
      <c r="E200" s="500" t="str">
        <f>HYPERLINK("#目录!A366","跳转回到目录页")</f>
        <v>跳转回到目录页</v>
      </c>
      <c r="F200" s="501"/>
    </row>
    <row r="201" spans="1:13" s="88" customFormat="1" ht="26.25" customHeight="1">
      <c r="A201" s="502" t="s">
        <v>1216</v>
      </c>
      <c r="B201" s="502"/>
      <c r="C201" s="503" t="s">
        <v>570</v>
      </c>
      <c r="D201" s="503"/>
      <c r="E201" s="503"/>
      <c r="F201" s="503"/>
      <c r="G201" s="503"/>
      <c r="H201" s="503"/>
      <c r="I201" s="503"/>
      <c r="J201" s="503"/>
      <c r="K201" s="503"/>
      <c r="L201" s="503"/>
      <c r="M201" s="503"/>
    </row>
    <row r="202" spans="1:13" s="88" customFormat="1" ht="16.5" customHeight="1">
      <c r="A202" s="496" t="s">
        <v>1217</v>
      </c>
      <c r="B202" s="496"/>
      <c r="C202" s="493" t="s">
        <v>4593</v>
      </c>
      <c r="D202" s="493"/>
      <c r="E202" s="493"/>
      <c r="F202" s="493"/>
      <c r="G202" s="493"/>
      <c r="H202" s="493"/>
      <c r="I202" s="493"/>
      <c r="J202" s="493"/>
      <c r="K202" s="493"/>
      <c r="L202" s="493"/>
      <c r="M202" s="493"/>
    </row>
    <row r="203" spans="1:13" s="88" customFormat="1" ht="16.5" customHeight="1">
      <c r="A203" s="496" t="s">
        <v>5786</v>
      </c>
      <c r="B203" s="496"/>
      <c r="C203" s="497" t="s">
        <v>570</v>
      </c>
      <c r="D203" s="497"/>
      <c r="E203" s="497"/>
      <c r="F203" s="497"/>
      <c r="G203" s="497"/>
      <c r="H203" s="497"/>
      <c r="I203" s="497"/>
      <c r="J203" s="497"/>
      <c r="K203" s="497"/>
      <c r="L203" s="497"/>
      <c r="M203" s="497"/>
    </row>
    <row r="204" spans="1:13" s="88" customFormat="1" ht="16.5" customHeight="1">
      <c r="A204" s="496" t="s">
        <v>1220</v>
      </c>
      <c r="B204" s="496"/>
      <c r="C204" s="493" t="s">
        <v>4594</v>
      </c>
      <c r="D204" s="493"/>
      <c r="E204" s="493"/>
      <c r="F204" s="493"/>
      <c r="G204" s="493"/>
      <c r="H204" s="493"/>
      <c r="I204" s="493"/>
      <c r="J204" s="493"/>
      <c r="K204" s="493"/>
      <c r="L204" s="493"/>
      <c r="M204" s="493"/>
    </row>
    <row r="205" spans="1:13" s="88" customFormat="1" ht="16.5" customHeight="1">
      <c r="A205" s="496" t="s">
        <v>5785</v>
      </c>
      <c r="B205" s="496"/>
      <c r="C205" s="493" t="s">
        <v>4595</v>
      </c>
      <c r="D205" s="493"/>
      <c r="E205" s="493"/>
      <c r="F205" s="493"/>
      <c r="G205" s="493"/>
      <c r="H205" s="493"/>
      <c r="I205" s="493"/>
      <c r="J205" s="493"/>
      <c r="K205" s="493"/>
      <c r="L205" s="493"/>
      <c r="M205" s="493"/>
    </row>
    <row r="206" spans="1:13" s="88" customFormat="1" ht="16.5" customHeight="1">
      <c r="A206" s="89" t="s">
        <v>1223</v>
      </c>
      <c r="B206" s="92" t="s">
        <v>4570</v>
      </c>
      <c r="C206" s="493" t="s">
        <v>4596</v>
      </c>
      <c r="D206" s="493"/>
      <c r="E206" s="493"/>
      <c r="F206" s="493"/>
      <c r="G206" s="493"/>
      <c r="H206" s="493"/>
      <c r="I206" s="493"/>
      <c r="J206" s="493"/>
      <c r="K206" s="493"/>
      <c r="L206" s="493"/>
      <c r="M206" s="493"/>
    </row>
    <row r="207" spans="1:13" s="88" customFormat="1" ht="24.75" customHeight="1">
      <c r="A207" s="89"/>
      <c r="B207" s="92" t="s">
        <v>4597</v>
      </c>
      <c r="C207" s="493" t="s">
        <v>4598</v>
      </c>
      <c r="D207" s="493"/>
      <c r="E207" s="493"/>
      <c r="F207" s="493"/>
      <c r="G207" s="493"/>
      <c r="H207" s="493"/>
      <c r="I207" s="493"/>
      <c r="J207" s="493"/>
      <c r="K207" s="493"/>
      <c r="L207" s="493"/>
      <c r="M207" s="493"/>
    </row>
    <row r="208" spans="1:13" s="88" customFormat="1" ht="24.75" customHeight="1">
      <c r="A208" s="89"/>
      <c r="B208" s="90" t="s">
        <v>4599</v>
      </c>
      <c r="C208" s="493" t="s">
        <v>4600</v>
      </c>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61.5" customHeight="1">
      <c r="A210" s="89" t="s">
        <v>1229</v>
      </c>
      <c r="B210" s="673" t="s">
        <v>4601</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B214" s="93"/>
      <c r="C214" s="93"/>
      <c r="D214" s="93"/>
      <c r="E214" s="93"/>
      <c r="F214" s="93"/>
      <c r="G214" s="93"/>
    </row>
    <row r="215" spans="1:13" ht="16.5" customHeight="1">
      <c r="B215" s="93"/>
      <c r="C215" s="93"/>
      <c r="D215" s="93"/>
      <c r="E215" s="93"/>
      <c r="F215" s="93"/>
      <c r="G215" s="93"/>
    </row>
    <row r="216" spans="1:13" ht="16.5" customHeight="1">
      <c r="B216" s="93" t="s">
        <v>4602</v>
      </c>
      <c r="C216" s="93"/>
      <c r="D216" s="93"/>
      <c r="E216" s="93"/>
      <c r="F216" s="93"/>
      <c r="G216" s="93"/>
    </row>
    <row r="217" spans="1:13" ht="16.5" customHeight="1">
      <c r="B217" s="93" t="s">
        <v>4603</v>
      </c>
      <c r="C217" s="93" t="s">
        <v>4604</v>
      </c>
      <c r="D217" s="93"/>
      <c r="E217" s="93"/>
      <c r="F217" s="93"/>
      <c r="G217" s="93"/>
    </row>
    <row r="218" spans="1:13" ht="16.5" customHeight="1">
      <c r="B218" s="160">
        <v>0.05</v>
      </c>
      <c r="C218" s="160">
        <v>0.1</v>
      </c>
      <c r="D218" s="93"/>
      <c r="E218" s="93"/>
      <c r="F218" s="93"/>
      <c r="G218" s="93"/>
    </row>
    <row r="219" spans="1:13" ht="16.5" customHeight="1">
      <c r="B219" s="93"/>
      <c r="C219" s="93"/>
      <c r="D219" s="93"/>
      <c r="E219" s="93"/>
      <c r="F219" s="93"/>
      <c r="G219" s="93"/>
    </row>
    <row r="220" spans="1:13" ht="16.5" customHeight="1">
      <c r="B220" s="518" t="s">
        <v>4564</v>
      </c>
      <c r="C220" s="93" t="s">
        <v>4565</v>
      </c>
      <c r="D220" s="93">
        <v>-1000000</v>
      </c>
      <c r="E220" s="93"/>
      <c r="F220" s="93"/>
      <c r="G220" s="93"/>
    </row>
    <row r="221" spans="1:13" ht="16.5" customHeight="1">
      <c r="B221" s="518"/>
      <c r="C221" s="93">
        <v>1</v>
      </c>
      <c r="D221" s="93">
        <v>200000</v>
      </c>
      <c r="E221" s="93"/>
      <c r="F221" s="93"/>
      <c r="G221" s="93"/>
    </row>
    <row r="222" spans="1:13" ht="16.5" customHeight="1">
      <c r="B222" s="518"/>
      <c r="C222" s="93">
        <v>2</v>
      </c>
      <c r="D222" s="93">
        <v>250000</v>
      </c>
      <c r="E222" s="93"/>
      <c r="F222" s="93"/>
      <c r="G222" s="93"/>
    </row>
    <row r="223" spans="1:13" ht="16.5" customHeight="1">
      <c r="B223" s="518"/>
      <c r="C223" s="93">
        <v>3</v>
      </c>
      <c r="D223" s="93">
        <v>400000</v>
      </c>
      <c r="E223" s="93"/>
      <c r="F223" s="93"/>
      <c r="G223" s="93"/>
    </row>
    <row r="224" spans="1:13" ht="16.5" customHeight="1">
      <c r="B224" s="518"/>
      <c r="C224" s="93">
        <v>4</v>
      </c>
      <c r="D224" s="93">
        <v>300000</v>
      </c>
      <c r="E224" s="93"/>
      <c r="F224" s="93"/>
      <c r="G224" s="93"/>
    </row>
    <row r="225" spans="2:7" ht="16.5" customHeight="1">
      <c r="B225" s="518"/>
      <c r="C225" s="93">
        <v>5</v>
      </c>
      <c r="D225" s="93">
        <v>350000</v>
      </c>
      <c r="E225" s="104" t="s">
        <v>1238</v>
      </c>
      <c r="F225" s="93"/>
      <c r="G225" s="93"/>
    </row>
    <row r="226" spans="2:7" ht="16.5" customHeight="1">
      <c r="B226" s="518" t="s">
        <v>4582</v>
      </c>
      <c r="C226" s="518"/>
      <c r="D226" s="162">
        <f>MIRR(D220:D225,B218,C218)</f>
        <v>0.12343962570170608</v>
      </c>
      <c r="E226" s="108" t="s">
        <v>4605</v>
      </c>
      <c r="F226" s="93"/>
      <c r="G226" s="93"/>
    </row>
  </sheetData>
  <mergeCells count="6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B17:D17"/>
    <mergeCell ref="B24:C24"/>
    <mergeCell ref="A100:C100"/>
    <mergeCell ref="E100:F100"/>
    <mergeCell ref="A101:B101"/>
    <mergeCell ref="C101:M101"/>
    <mergeCell ref="B18:B23"/>
    <mergeCell ref="B109:M109"/>
    <mergeCell ref="A102:B102"/>
    <mergeCell ref="C102:M102"/>
    <mergeCell ref="A103:B103"/>
    <mergeCell ref="C103:M103"/>
    <mergeCell ref="A104:B104"/>
    <mergeCell ref="C104:M104"/>
    <mergeCell ref="A105:B105"/>
    <mergeCell ref="C105:M105"/>
    <mergeCell ref="C106:M106"/>
    <mergeCell ref="C107:M107"/>
    <mergeCell ref="C108:M108"/>
    <mergeCell ref="C205:M205"/>
    <mergeCell ref="C206:M206"/>
    <mergeCell ref="C207:M207"/>
    <mergeCell ref="B111:L111"/>
    <mergeCell ref="B115:E115"/>
    <mergeCell ref="B122:C122"/>
    <mergeCell ref="A200:C200"/>
    <mergeCell ref="E200:F200"/>
    <mergeCell ref="B116:B120"/>
    <mergeCell ref="B226:C226"/>
    <mergeCell ref="B110:M110"/>
    <mergeCell ref="C208:M208"/>
    <mergeCell ref="B209:M209"/>
    <mergeCell ref="B210:M210"/>
    <mergeCell ref="B211:L211"/>
    <mergeCell ref="A201:B201"/>
    <mergeCell ref="C201:M201"/>
    <mergeCell ref="A202:B202"/>
    <mergeCell ref="C202:M202"/>
    <mergeCell ref="A203:B203"/>
    <mergeCell ref="C203:M203"/>
    <mergeCell ref="B220:B225"/>
    <mergeCell ref="A204:B204"/>
    <mergeCell ref="C204:M204"/>
    <mergeCell ref="A205:B205"/>
  </mergeCells>
  <phoneticPr fontId="2" type="noConversion"/>
  <pageMargins left="0.75" right="0.75" top="1" bottom="1" header="0.5" footer="0.5"/>
  <pageSetup paperSize="9" orientation="portrait" horizontalDpi="0" verticalDpi="0"/>
  <headerFooter scaleWithDoc="0"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2"/>
  <dimension ref="A1:AV233"/>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1203</v>
      </c>
      <c r="B1" s="498"/>
      <c r="C1" s="499"/>
      <c r="D1" s="87"/>
      <c r="E1" s="500" t="str">
        <f>HYPERLINK("#目录!A368","跳转回到目录页")</f>
        <v>跳转回到目录页</v>
      </c>
      <c r="F1" s="501"/>
    </row>
    <row r="2" spans="1:13" s="88" customFormat="1" ht="26.25" customHeight="1">
      <c r="A2" s="502" t="s">
        <v>1216</v>
      </c>
      <c r="B2" s="502"/>
      <c r="C2" s="503" t="s">
        <v>572</v>
      </c>
      <c r="D2" s="503"/>
      <c r="E2" s="503"/>
      <c r="F2" s="503"/>
      <c r="G2" s="503"/>
      <c r="H2" s="503"/>
      <c r="I2" s="503"/>
      <c r="J2" s="503"/>
      <c r="K2" s="503"/>
      <c r="L2" s="503"/>
      <c r="M2" s="503"/>
    </row>
    <row r="3" spans="1:13" s="88" customFormat="1" ht="16.5" customHeight="1">
      <c r="A3" s="496" t="s">
        <v>1217</v>
      </c>
      <c r="B3" s="496"/>
      <c r="C3" s="493" t="s">
        <v>4606</v>
      </c>
      <c r="D3" s="493"/>
      <c r="E3" s="493"/>
      <c r="F3" s="493"/>
      <c r="G3" s="493"/>
      <c r="H3" s="493"/>
      <c r="I3" s="493"/>
      <c r="J3" s="493"/>
      <c r="K3" s="493"/>
      <c r="L3" s="493"/>
      <c r="M3" s="493"/>
    </row>
    <row r="4" spans="1:13" s="88" customFormat="1" ht="16.5" customHeight="1">
      <c r="A4" s="496" t="s">
        <v>5786</v>
      </c>
      <c r="B4" s="496"/>
      <c r="C4" s="497" t="s">
        <v>572</v>
      </c>
      <c r="D4" s="497"/>
      <c r="E4" s="497"/>
      <c r="F4" s="497"/>
      <c r="G4" s="497"/>
      <c r="H4" s="497"/>
      <c r="I4" s="497"/>
      <c r="J4" s="497"/>
      <c r="K4" s="497"/>
      <c r="L4" s="497"/>
      <c r="M4" s="497"/>
    </row>
    <row r="5" spans="1:13" s="88" customFormat="1" ht="16.5" customHeight="1">
      <c r="A5" s="496" t="s">
        <v>1220</v>
      </c>
      <c r="B5" s="496"/>
      <c r="C5" s="493" t="s">
        <v>4607</v>
      </c>
      <c r="D5" s="493"/>
      <c r="E5" s="493"/>
      <c r="F5" s="493"/>
      <c r="G5" s="493"/>
      <c r="H5" s="493"/>
      <c r="I5" s="493"/>
      <c r="J5" s="493"/>
      <c r="K5" s="493"/>
      <c r="L5" s="493"/>
      <c r="M5" s="493"/>
    </row>
    <row r="6" spans="1:13" s="88" customFormat="1" ht="16.5" customHeight="1">
      <c r="A6" s="496" t="s">
        <v>5785</v>
      </c>
      <c r="B6" s="496"/>
      <c r="C6" s="493" t="s">
        <v>4608</v>
      </c>
      <c r="D6" s="493"/>
      <c r="E6" s="493"/>
      <c r="F6" s="493"/>
      <c r="G6" s="493"/>
      <c r="H6" s="493"/>
      <c r="I6" s="493"/>
      <c r="J6" s="493"/>
      <c r="K6" s="493"/>
      <c r="L6" s="493"/>
      <c r="M6" s="493"/>
    </row>
    <row r="7" spans="1:13" s="88" customFormat="1" ht="16.5" customHeight="1">
      <c r="A7" s="89" t="s">
        <v>1223</v>
      </c>
      <c r="B7" s="92" t="s">
        <v>4609</v>
      </c>
      <c r="C7" s="493" t="s">
        <v>4610</v>
      </c>
      <c r="D7" s="493"/>
      <c r="E7" s="493"/>
      <c r="F7" s="493"/>
      <c r="G7" s="493"/>
      <c r="H7" s="493"/>
      <c r="I7" s="493"/>
      <c r="J7" s="493"/>
      <c r="K7" s="493"/>
      <c r="L7" s="493"/>
      <c r="M7" s="493"/>
    </row>
    <row r="8" spans="1:13" s="88" customFormat="1" ht="16.5" customHeight="1">
      <c r="A8" s="89"/>
      <c r="B8" s="92" t="s">
        <v>4611</v>
      </c>
      <c r="C8" s="493" t="s">
        <v>4612</v>
      </c>
      <c r="D8" s="493"/>
      <c r="E8" s="493"/>
      <c r="F8" s="493"/>
      <c r="G8" s="493"/>
      <c r="H8" s="493"/>
      <c r="I8" s="493"/>
      <c r="J8" s="493"/>
      <c r="K8" s="493"/>
      <c r="L8" s="493"/>
      <c r="M8" s="493"/>
    </row>
    <row r="9" spans="1:13" s="88" customFormat="1" ht="16.5" customHeight="1">
      <c r="A9" s="89"/>
      <c r="B9" s="90" t="s">
        <v>4399</v>
      </c>
      <c r="C9" s="493" t="s">
        <v>4613</v>
      </c>
      <c r="D9" s="493"/>
      <c r="E9" s="493"/>
      <c r="F9" s="493"/>
      <c r="G9" s="493"/>
      <c r="H9" s="493"/>
      <c r="I9" s="493"/>
      <c r="J9" s="493"/>
      <c r="K9" s="493"/>
      <c r="L9" s="493"/>
      <c r="M9" s="493"/>
    </row>
    <row r="10" spans="1:13" s="88" customFormat="1" ht="16.5" customHeight="1">
      <c r="A10" s="89"/>
      <c r="B10" s="90" t="s">
        <v>4614</v>
      </c>
      <c r="C10" s="493" t="s">
        <v>4615</v>
      </c>
      <c r="D10" s="493"/>
      <c r="E10" s="493"/>
      <c r="F10" s="493"/>
      <c r="G10" s="493"/>
      <c r="H10" s="493"/>
      <c r="I10" s="493"/>
      <c r="J10" s="493"/>
      <c r="K10" s="493"/>
      <c r="L10" s="493"/>
      <c r="M10" s="493"/>
    </row>
    <row r="11" spans="1:13" s="88" customFormat="1" ht="16.5" customHeight="1">
      <c r="A11" s="89"/>
      <c r="B11" s="92" t="s">
        <v>4616</v>
      </c>
      <c r="C11" s="493" t="s">
        <v>4617</v>
      </c>
      <c r="D11" s="493"/>
      <c r="E11" s="493"/>
      <c r="F11" s="493"/>
      <c r="G11" s="493"/>
      <c r="H11" s="493"/>
      <c r="I11" s="493"/>
      <c r="J11" s="493"/>
      <c r="K11" s="493"/>
      <c r="L11" s="493"/>
      <c r="M11" s="493"/>
    </row>
    <row r="12" spans="1:13" s="88" customFormat="1" ht="16.5" customHeight="1">
      <c r="A12" s="89"/>
      <c r="B12" s="92" t="s">
        <v>4618</v>
      </c>
      <c r="C12" s="493" t="s">
        <v>4619</v>
      </c>
      <c r="D12" s="493"/>
      <c r="E12" s="493"/>
      <c r="F12" s="493"/>
      <c r="G12" s="493"/>
      <c r="H12" s="493"/>
      <c r="I12" s="493"/>
      <c r="J12" s="493"/>
      <c r="K12" s="493"/>
      <c r="L12" s="493"/>
      <c r="M12" s="493"/>
    </row>
    <row r="13" spans="1:13" s="88" customFormat="1" ht="16.5" customHeight="1">
      <c r="A13" s="89"/>
      <c r="B13" s="90" t="s">
        <v>4620</v>
      </c>
      <c r="C13" s="493" t="s">
        <v>4621</v>
      </c>
      <c r="D13" s="493"/>
      <c r="E13" s="493"/>
      <c r="F13" s="493"/>
      <c r="G13" s="493"/>
      <c r="H13" s="493"/>
      <c r="I13" s="493"/>
      <c r="J13" s="493"/>
      <c r="K13" s="493"/>
      <c r="L13" s="493"/>
      <c r="M13" s="493"/>
    </row>
    <row r="14" spans="1:13" s="88" customFormat="1" ht="24.75" customHeight="1">
      <c r="A14" s="89" t="s">
        <v>1228</v>
      </c>
      <c r="B14" s="493" t="s">
        <v>4622</v>
      </c>
      <c r="C14" s="493"/>
      <c r="D14" s="493"/>
      <c r="E14" s="493"/>
      <c r="F14" s="493"/>
      <c r="G14" s="493"/>
      <c r="H14" s="493"/>
      <c r="I14" s="493"/>
      <c r="J14" s="493"/>
      <c r="K14" s="493"/>
      <c r="L14" s="493"/>
      <c r="M14" s="493"/>
    </row>
    <row r="15" spans="1:13" ht="156.75" customHeight="1">
      <c r="A15" s="89" t="s">
        <v>1229</v>
      </c>
      <c r="B15" s="673" t="s">
        <v>4623</v>
      </c>
      <c r="C15" s="673"/>
      <c r="D15" s="673"/>
      <c r="E15" s="673"/>
      <c r="F15" s="673"/>
      <c r="G15" s="673"/>
      <c r="H15" s="673"/>
      <c r="I15" s="673"/>
      <c r="J15" s="673"/>
      <c r="K15" s="673"/>
      <c r="L15" s="673"/>
      <c r="M15" s="673"/>
    </row>
    <row r="16" spans="1:13" ht="21" customHeight="1">
      <c r="B16" s="494" t="s">
        <v>2863</v>
      </c>
      <c r="C16" s="494"/>
      <c r="D16" s="494"/>
      <c r="E16" s="494"/>
      <c r="F16" s="494"/>
      <c r="G16" s="494"/>
      <c r="H16" s="494"/>
      <c r="I16" s="494"/>
      <c r="J16" s="494"/>
      <c r="K16" s="494"/>
      <c r="L16" s="495"/>
    </row>
    <row r="17" spans="1:48" s="93" customFormat="1" ht="16.5" customHeight="1"/>
    <row r="18" spans="1:48" s="93" customFormat="1" ht="16.5" customHeight="1">
      <c r="A18" s="94" t="s">
        <v>1232</v>
      </c>
      <c r="B18" s="93" t="s">
        <v>1773</v>
      </c>
      <c r="E18" s="93" t="s">
        <v>3592</v>
      </c>
    </row>
    <row r="19" spans="1:48" s="93" customFormat="1" ht="16.5" customHeight="1">
      <c r="G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t="s">
        <v>4620</v>
      </c>
      <c r="C20" s="93" t="s">
        <v>4624</v>
      </c>
      <c r="G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3" t="s">
        <v>4411</v>
      </c>
      <c r="C21" s="93" t="s">
        <v>4625</v>
      </c>
      <c r="G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v>1</v>
      </c>
      <c r="C22" s="93" t="s">
        <v>4626</v>
      </c>
      <c r="G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93">
        <v>2</v>
      </c>
      <c r="C23" s="93" t="s">
        <v>4627</v>
      </c>
      <c r="G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3">
        <v>3</v>
      </c>
      <c r="C24" s="93" t="s">
        <v>4628</v>
      </c>
      <c r="G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3">
        <v>4</v>
      </c>
      <c r="C25" s="93" t="s">
        <v>4629</v>
      </c>
      <c r="G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G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A27" s="94"/>
      <c r="B27" s="518" t="s">
        <v>4630</v>
      </c>
      <c r="C27" s="518"/>
      <c r="D27" s="518"/>
      <c r="E27" s="518"/>
      <c r="F27" s="518"/>
      <c r="G27" s="518"/>
      <c r="H27" s="518"/>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4" t="s">
        <v>4631</v>
      </c>
      <c r="C28" s="94" t="s">
        <v>4632</v>
      </c>
      <c r="D28" s="94" t="s">
        <v>4415</v>
      </c>
      <c r="E28" s="94" t="s">
        <v>4633</v>
      </c>
      <c r="F28" s="94" t="s">
        <v>4634</v>
      </c>
      <c r="G28" s="94" t="s">
        <v>3792</v>
      </c>
      <c r="H28" s="94" t="s">
        <v>4635</v>
      </c>
      <c r="I28" s="104" t="s">
        <v>1238</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48">
        <v>40622</v>
      </c>
      <c r="C29" s="148">
        <v>44275</v>
      </c>
      <c r="D29" s="162">
        <v>5.0000000000000001E-3</v>
      </c>
      <c r="E29" s="93">
        <v>95</v>
      </c>
      <c r="F29" s="93">
        <v>100</v>
      </c>
      <c r="G29" s="4">
        <v>1</v>
      </c>
      <c r="H29" s="163">
        <f>YIELD(B29,C29,D29,E29,F29,G29,1)</f>
        <v>1.0287241450892338E-2</v>
      </c>
      <c r="I29" s="108" t="s">
        <v>4636</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G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G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G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G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G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G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G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A37" s="94"/>
      <c r="G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G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G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G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H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H45" s="4"/>
      <c r="I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H46" s="4"/>
      <c r="I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H47" s="4"/>
      <c r="I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H48" s="4"/>
      <c r="I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H49" s="4"/>
      <c r="I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s="93" customFormat="1" ht="16.5" customHeight="1">
      <c r="H50" s="4"/>
      <c r="I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48" s="93" customFormat="1" ht="16.5" customHeight="1">
      <c r="H51" s="4"/>
      <c r="I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48">
      <c r="A52" s="93"/>
      <c r="B52" s="93"/>
      <c r="C52" s="93"/>
      <c r="D52" s="93"/>
      <c r="J52" s="93"/>
      <c r="K52" s="93"/>
      <c r="L52" s="93"/>
      <c r="M52" s="93"/>
    </row>
    <row r="100" spans="1:13" s="88" customFormat="1" ht="26.25" customHeight="1">
      <c r="A100" s="498" t="s">
        <v>1080</v>
      </c>
      <c r="B100" s="498"/>
      <c r="C100" s="499"/>
      <c r="D100" s="87"/>
      <c r="E100" s="500" t="str">
        <f>HYPERLINK("#目录!A369","跳转回到目录页")</f>
        <v>跳转回到目录页</v>
      </c>
      <c r="F100" s="501"/>
    </row>
    <row r="101" spans="1:13" s="88" customFormat="1" ht="26.25" customHeight="1">
      <c r="A101" s="502" t="s">
        <v>1216</v>
      </c>
      <c r="B101" s="502"/>
      <c r="C101" s="503" t="s">
        <v>573</v>
      </c>
      <c r="D101" s="503"/>
      <c r="E101" s="503"/>
      <c r="F101" s="503"/>
      <c r="G101" s="503"/>
      <c r="H101" s="503"/>
      <c r="I101" s="503"/>
      <c r="J101" s="503"/>
      <c r="K101" s="503"/>
      <c r="L101" s="503"/>
      <c r="M101" s="503"/>
    </row>
    <row r="102" spans="1:13" s="88" customFormat="1" ht="16.5" customHeight="1">
      <c r="A102" s="496" t="s">
        <v>1217</v>
      </c>
      <c r="B102" s="496"/>
      <c r="C102" s="493" t="s">
        <v>4637</v>
      </c>
      <c r="D102" s="493"/>
      <c r="E102" s="493"/>
      <c r="F102" s="493"/>
      <c r="G102" s="493"/>
      <c r="H102" s="493"/>
      <c r="I102" s="493"/>
      <c r="J102" s="493"/>
      <c r="K102" s="493"/>
      <c r="L102" s="493"/>
      <c r="M102" s="493"/>
    </row>
    <row r="103" spans="1:13" s="88" customFormat="1" ht="16.5" customHeight="1">
      <c r="A103" s="496" t="s">
        <v>5786</v>
      </c>
      <c r="B103" s="496"/>
      <c r="C103" s="497" t="s">
        <v>573</v>
      </c>
      <c r="D103" s="497"/>
      <c r="E103" s="497"/>
      <c r="F103" s="497"/>
      <c r="G103" s="497"/>
      <c r="H103" s="497"/>
      <c r="I103" s="497"/>
      <c r="J103" s="497"/>
      <c r="K103" s="497"/>
      <c r="L103" s="497"/>
      <c r="M103" s="497"/>
    </row>
    <row r="104" spans="1:13" s="88" customFormat="1" ht="16.5" customHeight="1">
      <c r="A104" s="496" t="s">
        <v>1220</v>
      </c>
      <c r="B104" s="496"/>
      <c r="C104" s="493" t="s">
        <v>4638</v>
      </c>
      <c r="D104" s="493"/>
      <c r="E104" s="493"/>
      <c r="F104" s="493"/>
      <c r="G104" s="493"/>
      <c r="H104" s="493"/>
      <c r="I104" s="493"/>
      <c r="J104" s="493"/>
      <c r="K104" s="493"/>
      <c r="L104" s="493"/>
      <c r="M104" s="493"/>
    </row>
    <row r="105" spans="1:13" s="88" customFormat="1" ht="16.5" customHeight="1">
      <c r="A105" s="496" t="s">
        <v>5785</v>
      </c>
      <c r="B105" s="496"/>
      <c r="C105" s="493" t="s">
        <v>4639</v>
      </c>
      <c r="D105" s="493"/>
      <c r="E105" s="493"/>
      <c r="F105" s="493"/>
      <c r="G105" s="493"/>
      <c r="H105" s="493"/>
      <c r="I105" s="493"/>
      <c r="J105" s="493"/>
      <c r="K105" s="493"/>
      <c r="L105" s="493"/>
      <c r="M105" s="493"/>
    </row>
    <row r="106" spans="1:13" s="88" customFormat="1" ht="16.5" customHeight="1">
      <c r="A106" s="89" t="s">
        <v>1223</v>
      </c>
      <c r="B106" s="92" t="s">
        <v>4609</v>
      </c>
      <c r="C106" s="493" t="s">
        <v>4610</v>
      </c>
      <c r="D106" s="493"/>
      <c r="E106" s="493"/>
      <c r="F106" s="493"/>
      <c r="G106" s="493"/>
      <c r="H106" s="493"/>
      <c r="I106" s="493"/>
      <c r="J106" s="493"/>
      <c r="K106" s="493"/>
      <c r="L106" s="493"/>
      <c r="M106" s="493"/>
    </row>
    <row r="107" spans="1:13" s="88" customFormat="1" ht="16.5" customHeight="1">
      <c r="A107" s="89"/>
      <c r="B107" s="92" t="s">
        <v>4611</v>
      </c>
      <c r="C107" s="493" t="s">
        <v>4612</v>
      </c>
      <c r="D107" s="493"/>
      <c r="E107" s="493"/>
      <c r="F107" s="493"/>
      <c r="G107" s="493"/>
      <c r="H107" s="493"/>
      <c r="I107" s="493"/>
      <c r="J107" s="493"/>
      <c r="K107" s="493"/>
      <c r="L107" s="493"/>
      <c r="M107" s="493"/>
    </row>
    <row r="108" spans="1:13" s="88" customFormat="1" ht="16.5" customHeight="1">
      <c r="A108" s="89"/>
      <c r="B108" s="90" t="s">
        <v>4399</v>
      </c>
      <c r="C108" s="493" t="s">
        <v>4613</v>
      </c>
      <c r="D108" s="493"/>
      <c r="E108" s="493"/>
      <c r="F108" s="493"/>
      <c r="G108" s="493"/>
      <c r="H108" s="493"/>
      <c r="I108" s="493"/>
      <c r="J108" s="493"/>
      <c r="K108" s="493"/>
      <c r="L108" s="493"/>
      <c r="M108" s="493"/>
    </row>
    <row r="109" spans="1:13" s="88" customFormat="1" ht="16.5" customHeight="1">
      <c r="A109" s="89"/>
      <c r="B109" s="92" t="s">
        <v>4640</v>
      </c>
      <c r="C109" s="493" t="s">
        <v>4641</v>
      </c>
      <c r="D109" s="493"/>
      <c r="E109" s="493"/>
      <c r="F109" s="493"/>
      <c r="G109" s="493"/>
      <c r="H109" s="493"/>
      <c r="I109" s="493"/>
      <c r="J109" s="493"/>
      <c r="K109" s="493"/>
      <c r="L109" s="493"/>
      <c r="M109" s="493"/>
    </row>
    <row r="110" spans="1:13" s="88" customFormat="1" ht="16.5" customHeight="1">
      <c r="A110" s="89"/>
      <c r="B110" s="90" t="s">
        <v>4616</v>
      </c>
      <c r="C110" s="493" t="s">
        <v>4617</v>
      </c>
      <c r="D110" s="493"/>
      <c r="E110" s="493"/>
      <c r="F110" s="493"/>
      <c r="G110" s="493"/>
      <c r="H110" s="493"/>
      <c r="I110" s="493"/>
      <c r="J110" s="493"/>
      <c r="K110" s="493"/>
      <c r="L110" s="493"/>
      <c r="M110" s="493"/>
    </row>
    <row r="111" spans="1:13" s="88" customFormat="1" ht="16.5" customHeight="1">
      <c r="A111" s="89"/>
      <c r="B111" s="92" t="s">
        <v>4618</v>
      </c>
      <c r="C111" s="493" t="s">
        <v>4619</v>
      </c>
      <c r="D111" s="493"/>
      <c r="E111" s="493"/>
      <c r="F111" s="493"/>
      <c r="G111" s="493"/>
      <c r="H111" s="493"/>
      <c r="I111" s="493"/>
      <c r="J111" s="493"/>
      <c r="K111" s="493"/>
      <c r="L111" s="493"/>
      <c r="M111" s="493"/>
    </row>
    <row r="112" spans="1:13" s="88" customFormat="1" ht="16.5" customHeight="1">
      <c r="A112" s="89"/>
      <c r="B112" s="90" t="s">
        <v>4620</v>
      </c>
      <c r="C112" s="493" t="s">
        <v>4621</v>
      </c>
      <c r="D112" s="493"/>
      <c r="E112" s="493"/>
      <c r="F112" s="493"/>
      <c r="G112" s="493"/>
      <c r="H112" s="493"/>
      <c r="I112" s="493"/>
      <c r="J112" s="493"/>
      <c r="K112" s="493"/>
      <c r="L112" s="493"/>
      <c r="M112" s="493"/>
    </row>
    <row r="113" spans="1:13" s="88" customFormat="1" ht="24.75" customHeight="1">
      <c r="A113" s="89" t="s">
        <v>1228</v>
      </c>
      <c r="B113" s="493" t="s">
        <v>4622</v>
      </c>
      <c r="C113" s="493"/>
      <c r="D113" s="493"/>
      <c r="E113" s="493"/>
      <c r="F113" s="493"/>
      <c r="G113" s="493"/>
      <c r="H113" s="493"/>
      <c r="I113" s="493"/>
      <c r="J113" s="493"/>
      <c r="K113" s="493"/>
      <c r="L113" s="493"/>
      <c r="M113" s="493"/>
    </row>
    <row r="114" spans="1:13" ht="146.25" customHeight="1">
      <c r="A114" s="89" t="s">
        <v>1229</v>
      </c>
      <c r="B114" s="673" t="s">
        <v>4642</v>
      </c>
      <c r="C114" s="673"/>
      <c r="D114" s="673"/>
      <c r="E114" s="673"/>
      <c r="F114" s="673"/>
      <c r="G114" s="673"/>
      <c r="H114" s="673"/>
      <c r="I114" s="673"/>
      <c r="J114" s="673"/>
      <c r="K114" s="673"/>
      <c r="L114" s="673"/>
      <c r="M114" s="673"/>
    </row>
    <row r="115" spans="1:13" ht="21" customHeight="1">
      <c r="B115" s="494" t="s">
        <v>2863</v>
      </c>
      <c r="C115" s="494"/>
      <c r="D115" s="494"/>
      <c r="E115" s="494"/>
      <c r="F115" s="494"/>
      <c r="G115" s="494"/>
      <c r="H115" s="494"/>
      <c r="I115" s="494"/>
      <c r="J115" s="494"/>
      <c r="K115" s="494"/>
      <c r="L115" s="495"/>
    </row>
    <row r="116" spans="1:13" s="93" customFormat="1" ht="16.5" customHeight="1"/>
    <row r="117" spans="1:13" s="93" customFormat="1" ht="16.5" customHeight="1">
      <c r="A117" s="94" t="s">
        <v>1232</v>
      </c>
      <c r="B117" s="93" t="s">
        <v>1773</v>
      </c>
      <c r="G117" s="4"/>
      <c r="H117" s="4"/>
      <c r="I117" s="4"/>
    </row>
    <row r="118" spans="1:13" ht="16.5" customHeight="1">
      <c r="E118" s="93"/>
      <c r="F118" s="93"/>
    </row>
    <row r="119" spans="1:13" ht="16.5" customHeight="1">
      <c r="B119" s="93" t="s">
        <v>4620</v>
      </c>
      <c r="C119" s="93" t="s">
        <v>4624</v>
      </c>
      <c r="E119" s="93"/>
      <c r="F119" s="93"/>
    </row>
    <row r="120" spans="1:13" ht="16.5" customHeight="1">
      <c r="B120" s="93" t="s">
        <v>4411</v>
      </c>
      <c r="C120" s="93" t="s">
        <v>4625</v>
      </c>
      <c r="E120" s="93"/>
      <c r="F120" s="93"/>
    </row>
    <row r="121" spans="1:13" ht="16.5" customHeight="1">
      <c r="B121" s="93">
        <v>1</v>
      </c>
      <c r="C121" s="93" t="s">
        <v>4626</v>
      </c>
      <c r="E121" s="93"/>
      <c r="F121" s="93"/>
    </row>
    <row r="122" spans="1:13" ht="16.5" customHeight="1">
      <c r="B122" s="93">
        <v>2</v>
      </c>
      <c r="C122" s="93" t="s">
        <v>4627</v>
      </c>
      <c r="E122" s="93"/>
      <c r="F122" s="93"/>
    </row>
    <row r="123" spans="1:13" ht="16.5" customHeight="1">
      <c r="B123" s="93">
        <v>3</v>
      </c>
      <c r="C123" s="93" t="s">
        <v>4628</v>
      </c>
      <c r="E123" s="93"/>
    </row>
    <row r="124" spans="1:13" ht="16.5" customHeight="1">
      <c r="B124" s="93">
        <v>4</v>
      </c>
      <c r="C124" s="93" t="s">
        <v>4629</v>
      </c>
      <c r="E124" s="93"/>
    </row>
    <row r="125" spans="1:13" ht="16.5" customHeight="1">
      <c r="B125" s="93"/>
      <c r="C125" s="93"/>
      <c r="D125" s="93"/>
      <c r="E125" s="93"/>
      <c r="F125" s="93"/>
      <c r="G125" s="93"/>
      <c r="H125" s="93"/>
      <c r="I125" s="93"/>
      <c r="J125" s="93"/>
    </row>
    <row r="126" spans="1:13" ht="16.5" customHeight="1">
      <c r="B126" s="93"/>
      <c r="C126" s="93"/>
      <c r="D126" s="93"/>
      <c r="E126" s="93"/>
      <c r="F126" s="93"/>
      <c r="G126" s="93"/>
      <c r="H126" s="93"/>
      <c r="I126" s="93"/>
      <c r="J126" s="93"/>
    </row>
    <row r="127" spans="1:13" ht="16.5" customHeight="1">
      <c r="B127" s="518" t="s">
        <v>573</v>
      </c>
      <c r="C127" s="518"/>
      <c r="D127" s="518"/>
      <c r="E127" s="518"/>
      <c r="F127" s="518"/>
      <c r="G127" s="518"/>
      <c r="H127" s="518"/>
      <c r="I127" s="93"/>
      <c r="J127" s="93"/>
    </row>
    <row r="128" spans="1:13" ht="16.5" customHeight="1">
      <c r="B128" s="94" t="s">
        <v>4631</v>
      </c>
      <c r="C128" s="94" t="s">
        <v>4632</v>
      </c>
      <c r="D128" s="94" t="s">
        <v>4415</v>
      </c>
      <c r="E128" s="94" t="s">
        <v>4635</v>
      </c>
      <c r="F128" s="94" t="s">
        <v>4634</v>
      </c>
      <c r="G128" s="94" t="s">
        <v>3792</v>
      </c>
      <c r="H128" s="94" t="s">
        <v>4633</v>
      </c>
      <c r="I128" s="104" t="s">
        <v>1238</v>
      </c>
      <c r="J128" s="93"/>
    </row>
    <row r="129" spans="2:10" ht="16.5" customHeight="1">
      <c r="B129" s="148">
        <v>40622</v>
      </c>
      <c r="C129" s="148">
        <v>44275</v>
      </c>
      <c r="D129" s="162">
        <v>5.0000000000000001E-3</v>
      </c>
      <c r="E129" s="162">
        <v>1.0999999999999999E-2</v>
      </c>
      <c r="F129" s="93">
        <v>100</v>
      </c>
      <c r="G129" s="4">
        <v>1</v>
      </c>
      <c r="H129" s="93">
        <f>PRICE(B129,C129,D129,E129,F129,G129,1)</f>
        <v>94.347581883985143</v>
      </c>
      <c r="I129" s="108" t="s">
        <v>4643</v>
      </c>
      <c r="J129" s="93"/>
    </row>
    <row r="130" spans="2:10" ht="16.5" customHeight="1">
      <c r="B130" s="93"/>
      <c r="C130" s="93"/>
      <c r="D130" s="93"/>
      <c r="E130" s="93"/>
      <c r="F130" s="93"/>
      <c r="H130" s="93"/>
      <c r="I130" s="93"/>
      <c r="J130" s="93"/>
    </row>
    <row r="131" spans="2:10" ht="16.5" customHeight="1">
      <c r="B131" s="93"/>
      <c r="C131" s="93"/>
      <c r="D131" s="93"/>
      <c r="E131" s="93"/>
      <c r="F131" s="93"/>
      <c r="G131" s="93"/>
      <c r="H131" s="93"/>
      <c r="I131" s="93"/>
      <c r="J131" s="93"/>
    </row>
    <row r="132" spans="2:10" ht="16.5" customHeight="1">
      <c r="B132" s="93"/>
      <c r="C132" s="93"/>
      <c r="D132" s="93"/>
      <c r="E132" s="93"/>
      <c r="F132" s="93"/>
      <c r="G132" s="93"/>
      <c r="H132" s="93"/>
      <c r="I132" s="93"/>
      <c r="J132" s="93"/>
    </row>
    <row r="133" spans="2:10" ht="16.5" customHeight="1">
      <c r="B133" s="93"/>
      <c r="C133" s="93"/>
      <c r="D133" s="93"/>
      <c r="E133" s="93"/>
      <c r="F133" s="93"/>
      <c r="H133" s="93"/>
      <c r="I133" s="93"/>
      <c r="J133" s="93"/>
    </row>
    <row r="134" spans="2:10" ht="16.5" customHeight="1">
      <c r="B134" s="93"/>
      <c r="C134" s="93"/>
      <c r="D134" s="93"/>
      <c r="E134" s="93"/>
      <c r="F134" s="93"/>
      <c r="G134" s="93"/>
      <c r="H134" s="93"/>
      <c r="I134" s="93"/>
      <c r="J134" s="93"/>
    </row>
    <row r="135" spans="2:10" ht="16.5" customHeight="1">
      <c r="B135" s="93"/>
      <c r="C135" s="93"/>
      <c r="D135" s="93"/>
      <c r="E135" s="93"/>
      <c r="F135" s="93"/>
      <c r="G135" s="93"/>
      <c r="H135" s="93"/>
      <c r="I135" s="93"/>
      <c r="J135" s="93"/>
    </row>
    <row r="136" spans="2:10" ht="16.5" customHeight="1">
      <c r="B136" s="93"/>
      <c r="C136" s="93"/>
      <c r="D136" s="93"/>
      <c r="E136" s="93"/>
      <c r="F136" s="93"/>
      <c r="G136" s="93"/>
      <c r="H136" s="93"/>
      <c r="I136" s="93"/>
      <c r="J136" s="93"/>
    </row>
    <row r="137" spans="2:10">
      <c r="B137" s="93"/>
      <c r="C137" s="93"/>
      <c r="D137" s="93"/>
      <c r="E137" s="93"/>
      <c r="F137" s="93"/>
      <c r="G137" s="93"/>
      <c r="H137" s="93"/>
      <c r="I137" s="93"/>
      <c r="J137" s="93"/>
    </row>
    <row r="138" spans="2:10">
      <c r="F138" s="93"/>
    </row>
    <row r="139" spans="2:10">
      <c r="F139" s="93"/>
    </row>
    <row r="140" spans="2:10">
      <c r="F140" s="93"/>
    </row>
    <row r="200" spans="1:13" s="88" customFormat="1" ht="26.25" customHeight="1">
      <c r="A200" s="498" t="s">
        <v>722</v>
      </c>
      <c r="B200" s="498"/>
      <c r="C200" s="499"/>
      <c r="D200" s="87"/>
      <c r="E200" s="500" t="str">
        <f>HYPERLINK("#目录!A370","跳转回到目录页")</f>
        <v>跳转回到目录页</v>
      </c>
      <c r="F200" s="501"/>
    </row>
    <row r="201" spans="1:13" s="88" customFormat="1" ht="26.25" customHeight="1">
      <c r="A201" s="502" t="s">
        <v>1216</v>
      </c>
      <c r="B201" s="502"/>
      <c r="C201" s="503" t="s">
        <v>574</v>
      </c>
      <c r="D201" s="503"/>
      <c r="E201" s="503"/>
      <c r="F201" s="503"/>
      <c r="G201" s="503"/>
      <c r="H201" s="503"/>
      <c r="I201" s="503"/>
      <c r="J201" s="503"/>
      <c r="K201" s="503"/>
      <c r="L201" s="503"/>
      <c r="M201" s="503"/>
    </row>
    <row r="202" spans="1:13" s="88" customFormat="1" ht="16.5" customHeight="1">
      <c r="A202" s="496" t="s">
        <v>1217</v>
      </c>
      <c r="B202" s="496"/>
      <c r="C202" s="493" t="s">
        <v>4644</v>
      </c>
      <c r="D202" s="493"/>
      <c r="E202" s="493"/>
      <c r="F202" s="493"/>
      <c r="G202" s="493"/>
      <c r="H202" s="493"/>
      <c r="I202" s="493"/>
      <c r="J202" s="493"/>
      <c r="K202" s="493"/>
      <c r="L202" s="493"/>
      <c r="M202" s="493"/>
    </row>
    <row r="203" spans="1:13" s="88" customFormat="1" ht="16.5" customHeight="1">
      <c r="A203" s="496" t="s">
        <v>5786</v>
      </c>
      <c r="B203" s="496"/>
      <c r="C203" s="497" t="s">
        <v>574</v>
      </c>
      <c r="D203" s="497"/>
      <c r="E203" s="497"/>
      <c r="F203" s="497"/>
      <c r="G203" s="497"/>
      <c r="H203" s="497"/>
      <c r="I203" s="497"/>
      <c r="J203" s="497"/>
      <c r="K203" s="497"/>
      <c r="L203" s="497"/>
      <c r="M203" s="497"/>
    </row>
    <row r="204" spans="1:13" s="88" customFormat="1" ht="16.5" customHeight="1">
      <c r="A204" s="496" t="s">
        <v>1220</v>
      </c>
      <c r="B204" s="496"/>
      <c r="C204" s="493" t="s">
        <v>4645</v>
      </c>
      <c r="D204" s="493"/>
      <c r="E204" s="493"/>
      <c r="F204" s="493"/>
      <c r="G204" s="493"/>
      <c r="H204" s="493"/>
      <c r="I204" s="493"/>
      <c r="J204" s="493"/>
      <c r="K204" s="493"/>
      <c r="L204" s="493"/>
      <c r="M204" s="493"/>
    </row>
    <row r="205" spans="1:13" s="88" customFormat="1" ht="16.5" customHeight="1">
      <c r="A205" s="496" t="s">
        <v>5785</v>
      </c>
      <c r="B205" s="496"/>
      <c r="C205" s="493" t="s">
        <v>4646</v>
      </c>
      <c r="D205" s="493"/>
      <c r="E205" s="493"/>
      <c r="F205" s="493"/>
      <c r="G205" s="493"/>
      <c r="H205" s="493"/>
      <c r="I205" s="493"/>
      <c r="J205" s="493"/>
      <c r="K205" s="493"/>
      <c r="L205" s="493"/>
      <c r="M205" s="493"/>
    </row>
    <row r="206" spans="1:13" s="88" customFormat="1" ht="16.5" customHeight="1">
      <c r="A206" s="89" t="s">
        <v>1223</v>
      </c>
      <c r="B206" s="92" t="s">
        <v>4647</v>
      </c>
      <c r="C206" s="493" t="s">
        <v>4648</v>
      </c>
      <c r="D206" s="493"/>
      <c r="E206" s="493"/>
      <c r="F206" s="493"/>
      <c r="G206" s="493"/>
      <c r="H206" s="493"/>
      <c r="I206" s="493"/>
      <c r="J206" s="493"/>
      <c r="K206" s="493"/>
      <c r="L206" s="493"/>
      <c r="M206" s="493"/>
    </row>
    <row r="207" spans="1:13" s="88" customFormat="1" ht="24.75" customHeight="1">
      <c r="A207" s="89"/>
      <c r="B207" s="92" t="s">
        <v>4649</v>
      </c>
      <c r="C207" s="493" t="s">
        <v>4650</v>
      </c>
      <c r="D207" s="493"/>
      <c r="E207" s="493"/>
      <c r="F207" s="493"/>
      <c r="G207" s="493"/>
      <c r="H207" s="493"/>
      <c r="I207" s="493"/>
      <c r="J207" s="493"/>
      <c r="K207" s="493"/>
      <c r="L207" s="493"/>
      <c r="M207" s="493"/>
    </row>
    <row r="208" spans="1:13" s="88" customFormat="1" ht="16.5" customHeight="1">
      <c r="A208" s="89"/>
      <c r="B208" s="90" t="s">
        <v>4609</v>
      </c>
      <c r="C208" s="493" t="s">
        <v>4610</v>
      </c>
      <c r="D208" s="493"/>
      <c r="E208" s="493"/>
      <c r="F208" s="493"/>
      <c r="G208" s="493"/>
      <c r="H208" s="493"/>
      <c r="I208" s="493"/>
      <c r="J208" s="493"/>
      <c r="K208" s="493"/>
      <c r="L208" s="493"/>
      <c r="M208" s="493"/>
    </row>
    <row r="209" spans="1:13" s="88" customFormat="1" ht="16.5" customHeight="1">
      <c r="A209" s="89"/>
      <c r="B209" s="90" t="s">
        <v>4399</v>
      </c>
      <c r="C209" s="493" t="s">
        <v>4613</v>
      </c>
      <c r="D209" s="493"/>
      <c r="E209" s="493"/>
      <c r="F209" s="493"/>
      <c r="G209" s="493"/>
      <c r="H209" s="493"/>
      <c r="I209" s="493"/>
      <c r="J209" s="493"/>
      <c r="K209" s="493"/>
      <c r="L209" s="493"/>
      <c r="M209" s="493"/>
    </row>
    <row r="210" spans="1:13" s="88" customFormat="1" ht="16.5" customHeight="1">
      <c r="A210" s="89"/>
      <c r="B210" s="90" t="s">
        <v>4651</v>
      </c>
      <c r="C210" s="493" t="s">
        <v>4652</v>
      </c>
      <c r="D210" s="493"/>
      <c r="E210" s="493"/>
      <c r="F210" s="493"/>
      <c r="G210" s="493"/>
      <c r="H210" s="493"/>
      <c r="I210" s="493"/>
      <c r="J210" s="493"/>
      <c r="K210" s="493"/>
      <c r="L210" s="493"/>
      <c r="M210" s="493"/>
    </row>
    <row r="211" spans="1:13" s="88" customFormat="1" ht="16.5" customHeight="1">
      <c r="A211" s="89"/>
      <c r="B211" s="90" t="s">
        <v>4618</v>
      </c>
      <c r="C211" s="493" t="s">
        <v>4619</v>
      </c>
      <c r="D211" s="493"/>
      <c r="E211" s="493"/>
      <c r="F211" s="493"/>
      <c r="G211" s="493"/>
      <c r="H211" s="493"/>
      <c r="I211" s="493"/>
      <c r="J211" s="493"/>
      <c r="K211" s="493"/>
      <c r="L211" s="493"/>
      <c r="M211" s="493"/>
    </row>
    <row r="212" spans="1:13" s="88" customFormat="1" ht="16.5" customHeight="1">
      <c r="A212" s="89"/>
      <c r="B212" s="90" t="s">
        <v>4620</v>
      </c>
      <c r="C212" s="493" t="s">
        <v>4621</v>
      </c>
      <c r="D212" s="493"/>
      <c r="E212" s="493"/>
      <c r="F212" s="493"/>
      <c r="G212" s="493"/>
      <c r="H212" s="493"/>
      <c r="I212" s="493"/>
      <c r="J212" s="493"/>
      <c r="K212" s="493"/>
      <c r="L212" s="493"/>
      <c r="M212" s="493"/>
    </row>
    <row r="213" spans="1:13" s="88" customFormat="1" ht="24.75" customHeight="1">
      <c r="A213" s="89" t="s">
        <v>1228</v>
      </c>
      <c r="B213" s="493" t="s">
        <v>4622</v>
      </c>
      <c r="C213" s="493"/>
      <c r="D213" s="493"/>
      <c r="E213" s="493"/>
      <c r="F213" s="493"/>
      <c r="G213" s="493"/>
      <c r="H213" s="493"/>
      <c r="I213" s="493"/>
      <c r="J213" s="493"/>
      <c r="K213" s="493"/>
      <c r="L213" s="493"/>
      <c r="M213" s="493"/>
    </row>
    <row r="214" spans="1:13" ht="110.25" customHeight="1">
      <c r="A214" s="89" t="s">
        <v>1229</v>
      </c>
      <c r="B214" s="673" t="s">
        <v>4653</v>
      </c>
      <c r="C214" s="673"/>
      <c r="D214" s="673"/>
      <c r="E214" s="673"/>
      <c r="F214" s="673"/>
      <c r="G214" s="673"/>
      <c r="H214" s="673"/>
      <c r="I214" s="673"/>
      <c r="J214" s="673"/>
      <c r="K214" s="673"/>
      <c r="L214" s="673"/>
      <c r="M214" s="673"/>
    </row>
    <row r="215" spans="1:13" ht="21" customHeight="1">
      <c r="B215" s="494" t="s">
        <v>2863</v>
      </c>
      <c r="C215" s="494"/>
      <c r="D215" s="494"/>
      <c r="E215" s="494"/>
      <c r="F215" s="494"/>
      <c r="G215" s="494"/>
      <c r="H215" s="494"/>
      <c r="I215" s="494"/>
      <c r="J215" s="494"/>
      <c r="K215" s="494"/>
      <c r="L215" s="495"/>
    </row>
    <row r="216" spans="1:13" s="93" customFormat="1" ht="16.5" customHeight="1"/>
    <row r="217" spans="1:13" s="93" customFormat="1" ht="16.5" customHeight="1">
      <c r="A217" s="94" t="s">
        <v>1232</v>
      </c>
      <c r="B217" s="93" t="s">
        <v>1773</v>
      </c>
      <c r="E217" s="93" t="s">
        <v>27</v>
      </c>
      <c r="G217" s="4"/>
      <c r="H217" s="4"/>
    </row>
    <row r="218" spans="1:13" ht="16.5" customHeight="1">
      <c r="E218" s="93"/>
      <c r="F218" s="93"/>
    </row>
    <row r="219" spans="1:13" ht="16.5" customHeight="1">
      <c r="B219" s="93" t="s">
        <v>4620</v>
      </c>
      <c r="C219" s="93" t="s">
        <v>4624</v>
      </c>
      <c r="E219" s="93"/>
      <c r="F219" s="93"/>
    </row>
    <row r="220" spans="1:13" ht="16.5" customHeight="1">
      <c r="B220" s="93" t="s">
        <v>4411</v>
      </c>
      <c r="C220" s="93" t="s">
        <v>4625</v>
      </c>
      <c r="E220" s="93"/>
      <c r="F220" s="93"/>
    </row>
    <row r="221" spans="1:13" ht="16.5" customHeight="1">
      <c r="B221" s="93">
        <v>1</v>
      </c>
      <c r="C221" s="93" t="s">
        <v>4626</v>
      </c>
      <c r="E221" s="93"/>
      <c r="F221" s="93"/>
    </row>
    <row r="222" spans="1:13" ht="16.5" customHeight="1">
      <c r="B222" s="93">
        <v>2</v>
      </c>
      <c r="C222" s="93" t="s">
        <v>4627</v>
      </c>
      <c r="E222" s="93"/>
      <c r="F222" s="93"/>
    </row>
    <row r="223" spans="1:13" ht="16.5" customHeight="1">
      <c r="B223" s="93">
        <v>3</v>
      </c>
      <c r="C223" s="93" t="s">
        <v>4628</v>
      </c>
      <c r="E223" s="93"/>
      <c r="F223" s="93"/>
    </row>
    <row r="224" spans="1:13" ht="16.5" customHeight="1">
      <c r="B224" s="93">
        <v>4</v>
      </c>
      <c r="C224" s="93" t="s">
        <v>4629</v>
      </c>
      <c r="E224" s="93"/>
      <c r="F224" s="93"/>
    </row>
    <row r="225" spans="2:12" ht="16.5" customHeight="1">
      <c r="B225" s="93"/>
      <c r="C225" s="93"/>
      <c r="D225" s="93"/>
      <c r="E225" s="93"/>
      <c r="F225" s="93"/>
      <c r="G225" s="93"/>
      <c r="H225" s="93"/>
      <c r="I225" s="93"/>
      <c r="J225" s="93"/>
      <c r="K225" s="93"/>
      <c r="L225" s="93"/>
    </row>
    <row r="226" spans="2:12" ht="16.5" customHeight="1">
      <c r="B226" s="93"/>
      <c r="C226" s="93"/>
      <c r="D226" s="93"/>
      <c r="E226" s="93"/>
      <c r="F226" s="93"/>
      <c r="G226" s="93"/>
      <c r="H226" s="93"/>
      <c r="I226" s="93"/>
      <c r="J226" s="93"/>
      <c r="K226" s="93"/>
      <c r="L226" s="93"/>
    </row>
    <row r="227" spans="2:12" ht="16.5" customHeight="1">
      <c r="B227" s="518" t="s">
        <v>574</v>
      </c>
      <c r="C227" s="518"/>
      <c r="D227" s="518"/>
      <c r="E227" s="518"/>
      <c r="F227" s="518"/>
      <c r="G227" s="518"/>
      <c r="H227" s="518"/>
      <c r="I227" s="93"/>
      <c r="J227" s="93"/>
      <c r="L227" s="93"/>
    </row>
    <row r="228" spans="2:12" ht="16.5" customHeight="1">
      <c r="B228" s="94" t="s">
        <v>4654</v>
      </c>
      <c r="C228" s="94" t="s">
        <v>4655</v>
      </c>
      <c r="D228" s="94" t="s">
        <v>4631</v>
      </c>
      <c r="E228" s="94" t="s">
        <v>4415</v>
      </c>
      <c r="F228" s="94" t="s">
        <v>4634</v>
      </c>
      <c r="G228" s="94" t="s">
        <v>3792</v>
      </c>
      <c r="H228" s="94" t="s">
        <v>4656</v>
      </c>
      <c r="I228" s="104" t="s">
        <v>1238</v>
      </c>
      <c r="J228" s="93"/>
      <c r="L228" s="93"/>
    </row>
    <row r="229" spans="2:12" ht="16.5" customHeight="1">
      <c r="B229" s="148">
        <v>40622</v>
      </c>
      <c r="C229" s="148">
        <v>44275</v>
      </c>
      <c r="D229" s="148">
        <v>40806</v>
      </c>
      <c r="E229" s="162">
        <v>5.0000000000000001E-3</v>
      </c>
      <c r="F229" s="93">
        <v>100</v>
      </c>
      <c r="G229" s="4">
        <v>1</v>
      </c>
      <c r="H229" s="93">
        <f>ACCRINT(B229,C229,D229,E229,F229,G229,1)</f>
        <v>0.24794520547945176</v>
      </c>
      <c r="I229" s="108" t="s">
        <v>4657</v>
      </c>
      <c r="J229" s="93"/>
      <c r="L229" s="93"/>
    </row>
    <row r="230" spans="2:12" ht="16.5" customHeight="1">
      <c r="B230" s="93"/>
      <c r="C230" s="93"/>
      <c r="D230" s="93"/>
      <c r="E230" s="93"/>
      <c r="F230" s="93"/>
      <c r="G230" s="93"/>
      <c r="H230" s="93"/>
      <c r="I230" s="93"/>
      <c r="J230" s="93"/>
      <c r="K230" s="93"/>
      <c r="L230" s="93"/>
    </row>
    <row r="231" spans="2:12" ht="16.5" customHeight="1">
      <c r="B231" s="93"/>
      <c r="C231" s="93"/>
      <c r="D231" s="93"/>
      <c r="E231" s="93"/>
      <c r="F231" s="93"/>
      <c r="G231" s="93"/>
      <c r="H231" s="93"/>
      <c r="I231" s="93"/>
      <c r="J231" s="93"/>
      <c r="K231" s="93"/>
      <c r="L231" s="93"/>
    </row>
    <row r="232" spans="2:12" ht="16.5" customHeight="1"/>
    <row r="233" spans="2:12" ht="16.5" customHeight="1"/>
  </sheetData>
  <mergeCells count="69">
    <mergeCell ref="A1:C1"/>
    <mergeCell ref="E1:F1"/>
    <mergeCell ref="A2:B2"/>
    <mergeCell ref="C2:M2"/>
    <mergeCell ref="A3:B3"/>
    <mergeCell ref="C3:M3"/>
    <mergeCell ref="A4:B4"/>
    <mergeCell ref="C4:M4"/>
    <mergeCell ref="A5:B5"/>
    <mergeCell ref="C5:M5"/>
    <mergeCell ref="A6:B6"/>
    <mergeCell ref="C6:M6"/>
    <mergeCell ref="A100:C100"/>
    <mergeCell ref="E100:F100"/>
    <mergeCell ref="C7:M7"/>
    <mergeCell ref="C8:M8"/>
    <mergeCell ref="C9:M9"/>
    <mergeCell ref="C10:M10"/>
    <mergeCell ref="C11:M11"/>
    <mergeCell ref="C12:M12"/>
    <mergeCell ref="C13:M13"/>
    <mergeCell ref="B14:M14"/>
    <mergeCell ref="B15:M15"/>
    <mergeCell ref="B16:L16"/>
    <mergeCell ref="B27:H27"/>
    <mergeCell ref="C107:M107"/>
    <mergeCell ref="A101:B101"/>
    <mergeCell ref="C101:M101"/>
    <mergeCell ref="A102:B102"/>
    <mergeCell ref="C102:M102"/>
    <mergeCell ref="A103:B103"/>
    <mergeCell ref="C103:M103"/>
    <mergeCell ref="A104:B104"/>
    <mergeCell ref="C104:M104"/>
    <mergeCell ref="A105:B105"/>
    <mergeCell ref="C105:M105"/>
    <mergeCell ref="C106:M106"/>
    <mergeCell ref="A201:B201"/>
    <mergeCell ref="C201:M201"/>
    <mergeCell ref="C108:M108"/>
    <mergeCell ref="C109:M109"/>
    <mergeCell ref="C110:M110"/>
    <mergeCell ref="C111:M111"/>
    <mergeCell ref="C112:M112"/>
    <mergeCell ref="B113:M113"/>
    <mergeCell ref="B114:M114"/>
    <mergeCell ref="B115:L115"/>
    <mergeCell ref="B127:H127"/>
    <mergeCell ref="A200:C200"/>
    <mergeCell ref="E200:F200"/>
    <mergeCell ref="C209:M209"/>
    <mergeCell ref="A202:B202"/>
    <mergeCell ref="C202:M202"/>
    <mergeCell ref="A203:B203"/>
    <mergeCell ref="C203:M203"/>
    <mergeCell ref="A204:B204"/>
    <mergeCell ref="C204:M204"/>
    <mergeCell ref="A205:B205"/>
    <mergeCell ref="C205:M205"/>
    <mergeCell ref="C206:M206"/>
    <mergeCell ref="C207:M207"/>
    <mergeCell ref="C208:M208"/>
    <mergeCell ref="B227:H227"/>
    <mergeCell ref="C210:M210"/>
    <mergeCell ref="C211:M211"/>
    <mergeCell ref="C212:M212"/>
    <mergeCell ref="B213:M213"/>
    <mergeCell ref="B214:M214"/>
    <mergeCell ref="B215:L215"/>
  </mergeCells>
  <phoneticPr fontId="2" type="noConversion"/>
  <pageMargins left="0.75" right="0.75" top="1" bottom="1" header="0.5" footer="0.5"/>
  <headerFooter scaleWithDoc="0"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3"/>
  <dimension ref="A1:AV53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801</v>
      </c>
      <c r="B1" s="498"/>
      <c r="C1" s="499"/>
      <c r="D1" s="87"/>
      <c r="E1" s="500" t="str">
        <f>HYPERLINK("#目录!A372","跳转回到目录页")</f>
        <v>跳转回到目录页</v>
      </c>
      <c r="F1" s="501"/>
    </row>
    <row r="2" spans="1:13" s="88" customFormat="1" ht="26.25" customHeight="1">
      <c r="A2" s="502" t="s">
        <v>1216</v>
      </c>
      <c r="B2" s="502"/>
      <c r="C2" s="503" t="s">
        <v>577</v>
      </c>
      <c r="D2" s="503"/>
      <c r="E2" s="503"/>
      <c r="F2" s="503"/>
      <c r="G2" s="503"/>
      <c r="H2" s="503"/>
      <c r="I2" s="503"/>
      <c r="J2" s="503"/>
      <c r="K2" s="503"/>
      <c r="L2" s="503"/>
      <c r="M2" s="503"/>
    </row>
    <row r="3" spans="1:13" s="88" customFormat="1" ht="16.5" customHeight="1">
      <c r="A3" s="496" t="s">
        <v>1217</v>
      </c>
      <c r="B3" s="496"/>
      <c r="C3" s="493" t="s">
        <v>4658</v>
      </c>
      <c r="D3" s="493"/>
      <c r="E3" s="493"/>
      <c r="F3" s="493"/>
      <c r="G3" s="493"/>
      <c r="H3" s="493"/>
      <c r="I3" s="493"/>
      <c r="J3" s="493"/>
      <c r="K3" s="493"/>
      <c r="L3" s="493"/>
      <c r="M3" s="493"/>
    </row>
    <row r="4" spans="1:13" s="88" customFormat="1" ht="16.5" customHeight="1">
      <c r="A4" s="496" t="s">
        <v>5786</v>
      </c>
      <c r="B4" s="496"/>
      <c r="C4" s="497" t="s">
        <v>577</v>
      </c>
      <c r="D4" s="497"/>
      <c r="E4" s="497"/>
      <c r="F4" s="497"/>
      <c r="G4" s="497"/>
      <c r="H4" s="497"/>
      <c r="I4" s="497"/>
      <c r="J4" s="497"/>
      <c r="K4" s="497"/>
      <c r="L4" s="497"/>
      <c r="M4" s="497"/>
    </row>
    <row r="5" spans="1:13" s="88" customFormat="1" ht="16.5" customHeight="1">
      <c r="A5" s="496" t="s">
        <v>1220</v>
      </c>
      <c r="B5" s="496"/>
      <c r="C5" s="493" t="s">
        <v>4659</v>
      </c>
      <c r="D5" s="493"/>
      <c r="E5" s="493"/>
      <c r="F5" s="493"/>
      <c r="G5" s="493"/>
      <c r="H5" s="493"/>
      <c r="I5" s="493"/>
      <c r="J5" s="493"/>
      <c r="K5" s="493"/>
      <c r="L5" s="493"/>
      <c r="M5" s="493"/>
    </row>
    <row r="6" spans="1:13" s="88" customFormat="1" ht="16.5" customHeight="1">
      <c r="A6" s="496" t="s">
        <v>5785</v>
      </c>
      <c r="B6" s="496"/>
      <c r="C6" s="493" t="s">
        <v>4660</v>
      </c>
      <c r="D6" s="493"/>
      <c r="E6" s="493"/>
      <c r="F6" s="493"/>
      <c r="G6" s="493"/>
      <c r="H6" s="493"/>
      <c r="I6" s="493"/>
      <c r="J6" s="493"/>
      <c r="K6" s="493"/>
      <c r="L6" s="493"/>
      <c r="M6" s="493"/>
    </row>
    <row r="7" spans="1:13" s="88" customFormat="1" ht="16.5" customHeight="1">
      <c r="A7" s="89" t="s">
        <v>1223</v>
      </c>
      <c r="B7" s="92" t="s">
        <v>4609</v>
      </c>
      <c r="C7" s="493" t="s">
        <v>4661</v>
      </c>
      <c r="D7" s="493"/>
      <c r="E7" s="493"/>
      <c r="F7" s="493"/>
      <c r="G7" s="493"/>
      <c r="H7" s="493"/>
      <c r="I7" s="493"/>
      <c r="J7" s="493"/>
      <c r="K7" s="493"/>
      <c r="L7" s="493"/>
      <c r="M7" s="493"/>
    </row>
    <row r="8" spans="1:13" s="88" customFormat="1" ht="16.5" customHeight="1">
      <c r="A8" s="89"/>
      <c r="B8" s="92" t="s">
        <v>4611</v>
      </c>
      <c r="C8" s="493" t="s">
        <v>4612</v>
      </c>
      <c r="D8" s="493"/>
      <c r="E8" s="493"/>
      <c r="F8" s="493"/>
      <c r="G8" s="493"/>
      <c r="H8" s="493"/>
      <c r="I8" s="493"/>
      <c r="J8" s="493"/>
      <c r="K8" s="493"/>
      <c r="L8" s="493"/>
      <c r="M8" s="493"/>
    </row>
    <row r="9" spans="1:13" s="88" customFormat="1" ht="16.5" customHeight="1">
      <c r="A9" s="89"/>
      <c r="B9" s="92" t="s">
        <v>4618</v>
      </c>
      <c r="C9" s="493" t="s">
        <v>4619</v>
      </c>
      <c r="D9" s="493"/>
      <c r="E9" s="493"/>
      <c r="F9" s="493"/>
      <c r="G9" s="493"/>
      <c r="H9" s="493"/>
      <c r="I9" s="493"/>
      <c r="J9" s="493"/>
      <c r="K9" s="493"/>
      <c r="L9" s="493"/>
      <c r="M9" s="493"/>
    </row>
    <row r="10" spans="1:13" s="88" customFormat="1" ht="16.5" customHeight="1">
      <c r="A10" s="89"/>
      <c r="B10" s="90" t="s">
        <v>4620</v>
      </c>
      <c r="C10" s="493" t="s">
        <v>4621</v>
      </c>
      <c r="D10" s="493"/>
      <c r="E10" s="493"/>
      <c r="F10" s="493"/>
      <c r="G10" s="493"/>
      <c r="H10" s="493"/>
      <c r="I10" s="493"/>
      <c r="J10" s="493"/>
      <c r="K10" s="493"/>
      <c r="L10" s="493"/>
      <c r="M10" s="493"/>
    </row>
    <row r="11" spans="1:13" s="88" customFormat="1" ht="24.75" customHeight="1">
      <c r="A11" s="89" t="s">
        <v>1228</v>
      </c>
      <c r="B11" s="493" t="s">
        <v>4622</v>
      </c>
      <c r="C11" s="493"/>
      <c r="D11" s="493"/>
      <c r="E11" s="493"/>
      <c r="F11" s="493"/>
      <c r="G11" s="493"/>
      <c r="H11" s="493"/>
      <c r="I11" s="493"/>
      <c r="J11" s="493"/>
      <c r="K11" s="493"/>
      <c r="L11" s="493"/>
      <c r="M11" s="493"/>
    </row>
    <row r="12" spans="1:13" ht="122.25" customHeight="1">
      <c r="A12" s="89" t="s">
        <v>1229</v>
      </c>
      <c r="B12" s="673" t="s">
        <v>4662</v>
      </c>
      <c r="C12" s="673"/>
      <c r="D12" s="673"/>
      <c r="E12" s="673"/>
      <c r="F12" s="673"/>
      <c r="G12" s="673"/>
      <c r="H12" s="673"/>
      <c r="I12" s="673"/>
      <c r="J12" s="673"/>
      <c r="K12" s="673"/>
      <c r="L12" s="673"/>
      <c r="M12" s="673"/>
    </row>
    <row r="13" spans="1:13" ht="21" customHeight="1">
      <c r="B13" s="494" t="s">
        <v>2863</v>
      </c>
      <c r="C13" s="494"/>
      <c r="D13" s="494"/>
      <c r="E13" s="494"/>
      <c r="F13" s="494"/>
      <c r="G13" s="494"/>
      <c r="H13" s="494"/>
      <c r="I13" s="494"/>
      <c r="J13" s="494"/>
      <c r="K13" s="494"/>
      <c r="L13" s="495"/>
    </row>
    <row r="14" spans="1:13" s="93" customFormat="1" ht="16.5" customHeight="1"/>
    <row r="15" spans="1:13" s="93" customFormat="1" ht="16.5" customHeight="1">
      <c r="A15" s="94" t="s">
        <v>1232</v>
      </c>
      <c r="B15" s="93" t="s">
        <v>1773</v>
      </c>
      <c r="G15" s="4"/>
    </row>
    <row r="16" spans="1:13" ht="16.5" customHeight="1">
      <c r="E16" s="93"/>
      <c r="F16" s="93"/>
    </row>
    <row r="17" spans="2:11" ht="16.5" customHeight="1">
      <c r="B17" s="93" t="s">
        <v>4620</v>
      </c>
      <c r="C17" s="93" t="s">
        <v>4624</v>
      </c>
      <c r="D17" s="93"/>
      <c r="E17" s="93"/>
      <c r="F17" s="93"/>
      <c r="G17" s="93"/>
      <c r="H17" s="93"/>
      <c r="I17" s="93"/>
      <c r="J17" s="93"/>
      <c r="K17" s="93"/>
    </row>
    <row r="18" spans="2:11" ht="16.5" customHeight="1">
      <c r="B18" s="93" t="s">
        <v>4411</v>
      </c>
      <c r="C18" s="93" t="s">
        <v>4625</v>
      </c>
      <c r="D18" s="93"/>
      <c r="E18" s="93"/>
      <c r="F18" s="93"/>
      <c r="G18" s="93"/>
      <c r="H18" s="93"/>
      <c r="I18" s="93"/>
      <c r="J18" s="93"/>
      <c r="K18" s="93"/>
    </row>
    <row r="19" spans="2:11" ht="16.5" customHeight="1">
      <c r="B19" s="93">
        <v>1</v>
      </c>
      <c r="C19" s="93" t="s">
        <v>4626</v>
      </c>
      <c r="D19" s="93"/>
      <c r="E19" s="93"/>
      <c r="F19" s="93"/>
      <c r="G19" s="93"/>
      <c r="H19" s="93"/>
      <c r="I19" s="93"/>
      <c r="J19" s="93"/>
      <c r="K19" s="93"/>
    </row>
    <row r="20" spans="2:11" ht="16.5" customHeight="1">
      <c r="B20" s="93">
        <v>2</v>
      </c>
      <c r="C20" s="93" t="s">
        <v>4627</v>
      </c>
      <c r="D20" s="93"/>
      <c r="E20" s="93"/>
      <c r="F20" s="93"/>
      <c r="G20" s="93"/>
      <c r="H20" s="93"/>
      <c r="I20" s="93"/>
      <c r="J20" s="93"/>
      <c r="K20" s="93"/>
    </row>
    <row r="21" spans="2:11" ht="16.5" customHeight="1">
      <c r="B21" s="93">
        <v>3</v>
      </c>
      <c r="C21" s="93" t="s">
        <v>4628</v>
      </c>
      <c r="D21" s="93"/>
      <c r="E21" s="93"/>
      <c r="F21" s="93"/>
      <c r="G21" s="93"/>
      <c r="H21" s="93"/>
      <c r="I21" s="93"/>
      <c r="J21" s="93"/>
      <c r="K21" s="93"/>
    </row>
    <row r="22" spans="2:11" ht="16.5" customHeight="1">
      <c r="B22" s="93">
        <v>4</v>
      </c>
      <c r="C22" s="93" t="s">
        <v>4629</v>
      </c>
      <c r="D22" s="93"/>
      <c r="E22" s="93"/>
      <c r="F22" s="93"/>
      <c r="G22" s="93"/>
      <c r="H22" s="93"/>
      <c r="I22" s="93"/>
      <c r="J22" s="93"/>
      <c r="K22" s="93"/>
    </row>
    <row r="23" spans="2:11" ht="16.5" customHeight="1">
      <c r="B23" s="93"/>
      <c r="C23" s="93"/>
      <c r="D23" s="93"/>
      <c r="E23" s="93" t="s">
        <v>3592</v>
      </c>
      <c r="F23" s="93"/>
      <c r="G23" s="93"/>
      <c r="H23" s="93"/>
      <c r="I23" s="93"/>
      <c r="J23" s="93"/>
      <c r="K23" s="93"/>
    </row>
    <row r="24" spans="2:11" ht="16.5" customHeight="1">
      <c r="B24" s="93"/>
      <c r="C24" s="93"/>
      <c r="D24" s="93"/>
      <c r="E24" s="93"/>
      <c r="F24" s="93"/>
      <c r="G24" s="93"/>
      <c r="H24" s="93"/>
      <c r="I24" s="93"/>
      <c r="J24" s="93"/>
      <c r="K24" s="93"/>
    </row>
    <row r="25" spans="2:11" ht="16.5" customHeight="1">
      <c r="B25" s="518" t="s">
        <v>4663</v>
      </c>
      <c r="C25" s="518"/>
      <c r="D25" s="518"/>
      <c r="E25" s="518"/>
      <c r="F25" s="93"/>
      <c r="G25" s="93"/>
      <c r="H25" s="93"/>
      <c r="I25" s="93"/>
      <c r="J25" s="93"/>
      <c r="K25" s="93"/>
    </row>
    <row r="26" spans="2:11" ht="16.5" customHeight="1">
      <c r="B26" s="94" t="s">
        <v>4631</v>
      </c>
      <c r="C26" s="94" t="s">
        <v>4632</v>
      </c>
      <c r="D26" s="94" t="s">
        <v>4664</v>
      </c>
      <c r="E26" s="94" t="s">
        <v>4665</v>
      </c>
      <c r="F26" s="104" t="s">
        <v>1238</v>
      </c>
      <c r="G26" s="93"/>
      <c r="H26" s="93"/>
      <c r="I26" s="93"/>
      <c r="J26" s="93"/>
      <c r="K26" s="93"/>
    </row>
    <row r="27" spans="2:11" ht="16.5" customHeight="1">
      <c r="B27" s="148">
        <v>40558</v>
      </c>
      <c r="C27" s="148">
        <v>40909</v>
      </c>
      <c r="D27" s="93">
        <v>4</v>
      </c>
      <c r="E27" s="148">
        <f t="shared" ref="E27:E35" si="0">COUPPCD(B27,C27,D27,1)</f>
        <v>40544</v>
      </c>
      <c r="F27" s="108" t="s">
        <v>4666</v>
      </c>
      <c r="G27" s="93"/>
      <c r="H27" s="93"/>
      <c r="I27" s="93"/>
      <c r="J27" s="93"/>
      <c r="K27" s="93"/>
    </row>
    <row r="28" spans="2:11" ht="16.5" customHeight="1">
      <c r="B28" s="148">
        <v>40589</v>
      </c>
      <c r="C28" s="148">
        <v>40909</v>
      </c>
      <c r="D28" s="93">
        <v>4</v>
      </c>
      <c r="E28" s="148">
        <f t="shared" si="0"/>
        <v>40544</v>
      </c>
      <c r="F28" s="93"/>
      <c r="G28" s="93"/>
      <c r="H28" s="93"/>
      <c r="I28" s="93"/>
      <c r="J28" s="93"/>
      <c r="K28" s="93"/>
    </row>
    <row r="29" spans="2:11" ht="16.5" customHeight="1">
      <c r="B29" s="148">
        <v>40617</v>
      </c>
      <c r="C29" s="148">
        <v>40909</v>
      </c>
      <c r="D29" s="93">
        <v>4</v>
      </c>
      <c r="E29" s="148">
        <f t="shared" si="0"/>
        <v>40544</v>
      </c>
      <c r="F29" s="93"/>
      <c r="G29" s="93"/>
      <c r="H29" s="93"/>
      <c r="I29" s="93"/>
      <c r="J29" s="93"/>
      <c r="K29" s="93"/>
    </row>
    <row r="30" spans="2:11" ht="16.5" customHeight="1">
      <c r="B30" s="148">
        <v>40648</v>
      </c>
      <c r="C30" s="148">
        <v>40909</v>
      </c>
      <c r="D30" s="93">
        <v>4</v>
      </c>
      <c r="E30" s="148">
        <f t="shared" si="0"/>
        <v>40634</v>
      </c>
      <c r="F30" s="93"/>
      <c r="G30" s="93"/>
      <c r="H30" s="93"/>
      <c r="I30" s="93"/>
      <c r="J30" s="93"/>
      <c r="K30" s="93"/>
    </row>
    <row r="31" spans="2:11" ht="16.5" customHeight="1">
      <c r="B31" s="148">
        <v>40678</v>
      </c>
      <c r="C31" s="148">
        <v>40909</v>
      </c>
      <c r="D31" s="93">
        <v>4</v>
      </c>
      <c r="E31" s="148">
        <f t="shared" si="0"/>
        <v>40634</v>
      </c>
      <c r="F31" s="93"/>
      <c r="G31" s="93"/>
      <c r="H31" s="93"/>
      <c r="I31" s="93"/>
      <c r="J31" s="93"/>
      <c r="K31" s="93"/>
    </row>
    <row r="32" spans="2:11" ht="16.5" customHeight="1">
      <c r="B32" s="148">
        <v>40709</v>
      </c>
      <c r="C32" s="148">
        <v>40909</v>
      </c>
      <c r="D32" s="93">
        <v>4</v>
      </c>
      <c r="E32" s="148">
        <f t="shared" si="0"/>
        <v>40634</v>
      </c>
      <c r="F32" s="93"/>
      <c r="G32" s="93"/>
      <c r="H32" s="93"/>
      <c r="I32" s="93"/>
      <c r="J32" s="93"/>
      <c r="K32" s="93"/>
    </row>
    <row r="33" spans="2:11" ht="16.5" customHeight="1">
      <c r="B33" s="148">
        <v>40739</v>
      </c>
      <c r="C33" s="148">
        <v>40909</v>
      </c>
      <c r="D33" s="93">
        <v>4</v>
      </c>
      <c r="E33" s="148">
        <f t="shared" si="0"/>
        <v>40725</v>
      </c>
      <c r="F33" s="93"/>
      <c r="G33" s="93"/>
      <c r="H33" s="93"/>
      <c r="I33" s="93"/>
      <c r="J33" s="93"/>
      <c r="K33" s="93"/>
    </row>
    <row r="34" spans="2:11" ht="16.5" customHeight="1">
      <c r="B34" s="148">
        <v>40770</v>
      </c>
      <c r="C34" s="148">
        <v>40909</v>
      </c>
      <c r="D34" s="93">
        <v>4</v>
      </c>
      <c r="E34" s="148">
        <f t="shared" si="0"/>
        <v>40725</v>
      </c>
      <c r="F34" s="93"/>
      <c r="G34" s="93"/>
      <c r="H34" s="93"/>
      <c r="I34" s="93"/>
      <c r="J34" s="93"/>
      <c r="K34" s="93"/>
    </row>
    <row r="35" spans="2:11" ht="16.5" customHeight="1">
      <c r="B35" s="148">
        <v>40801</v>
      </c>
      <c r="C35" s="148">
        <v>40909</v>
      </c>
      <c r="D35" s="93">
        <v>4</v>
      </c>
      <c r="E35" s="148">
        <f t="shared" si="0"/>
        <v>40725</v>
      </c>
    </row>
    <row r="100" spans="1:13" s="88" customFormat="1" ht="26.25" customHeight="1">
      <c r="A100" s="498" t="s">
        <v>578</v>
      </c>
      <c r="B100" s="498"/>
      <c r="C100" s="499"/>
      <c r="D100" s="87"/>
      <c r="E100" s="500" t="str">
        <f>HYPERLINK("#目录!A373","跳转回到目录页")</f>
        <v>跳转回到目录页</v>
      </c>
      <c r="F100" s="501"/>
    </row>
    <row r="101" spans="1:13" s="88" customFormat="1" ht="26.25" customHeight="1">
      <c r="A101" s="502" t="s">
        <v>1216</v>
      </c>
      <c r="B101" s="502"/>
      <c r="C101" s="503" t="s">
        <v>577</v>
      </c>
      <c r="D101" s="503"/>
      <c r="E101" s="503"/>
      <c r="F101" s="503"/>
      <c r="G101" s="503"/>
      <c r="H101" s="503"/>
      <c r="I101" s="503"/>
      <c r="J101" s="503"/>
      <c r="K101" s="503"/>
      <c r="L101" s="503"/>
      <c r="M101" s="503"/>
    </row>
    <row r="102" spans="1:13" s="88" customFormat="1" ht="16.5" customHeight="1">
      <c r="A102" s="496" t="s">
        <v>1217</v>
      </c>
      <c r="B102" s="496"/>
      <c r="C102" s="493" t="s">
        <v>4667</v>
      </c>
      <c r="D102" s="493"/>
      <c r="E102" s="493"/>
      <c r="F102" s="493"/>
      <c r="G102" s="493"/>
      <c r="H102" s="493"/>
      <c r="I102" s="493"/>
      <c r="J102" s="493"/>
      <c r="K102" s="493"/>
      <c r="L102" s="493"/>
      <c r="M102" s="493"/>
    </row>
    <row r="103" spans="1:13" s="88" customFormat="1" ht="16.5" customHeight="1">
      <c r="A103" s="496" t="s">
        <v>5786</v>
      </c>
      <c r="B103" s="496"/>
      <c r="C103" s="497" t="s">
        <v>577</v>
      </c>
      <c r="D103" s="497"/>
      <c r="E103" s="497"/>
      <c r="F103" s="497"/>
      <c r="G103" s="497"/>
      <c r="H103" s="497"/>
      <c r="I103" s="497"/>
      <c r="J103" s="497"/>
      <c r="K103" s="497"/>
      <c r="L103" s="497"/>
      <c r="M103" s="497"/>
    </row>
    <row r="104" spans="1:13" s="88" customFormat="1" ht="16.5" customHeight="1">
      <c r="A104" s="496" t="s">
        <v>1220</v>
      </c>
      <c r="B104" s="496"/>
      <c r="C104" s="493" t="s">
        <v>4668</v>
      </c>
      <c r="D104" s="493"/>
      <c r="E104" s="493"/>
      <c r="F104" s="493"/>
      <c r="G104" s="493"/>
      <c r="H104" s="493"/>
      <c r="I104" s="493"/>
      <c r="J104" s="493"/>
      <c r="K104" s="493"/>
      <c r="L104" s="493"/>
      <c r="M104" s="493"/>
    </row>
    <row r="105" spans="1:13" s="88" customFormat="1" ht="16.5" customHeight="1">
      <c r="A105" s="496" t="s">
        <v>5785</v>
      </c>
      <c r="B105" s="496"/>
      <c r="C105" s="493" t="s">
        <v>4669</v>
      </c>
      <c r="D105" s="493"/>
      <c r="E105" s="493"/>
      <c r="F105" s="493"/>
      <c r="G105" s="493"/>
      <c r="H105" s="493"/>
      <c r="I105" s="493"/>
      <c r="J105" s="493"/>
      <c r="K105" s="493"/>
      <c r="L105" s="493"/>
      <c r="M105" s="493"/>
    </row>
    <row r="106" spans="1:13" s="88" customFormat="1" ht="16.5" customHeight="1">
      <c r="A106" s="89" t="s">
        <v>1223</v>
      </c>
      <c r="B106" s="92" t="s">
        <v>4609</v>
      </c>
      <c r="C106" s="493" t="s">
        <v>4661</v>
      </c>
      <c r="D106" s="493"/>
      <c r="E106" s="493"/>
      <c r="F106" s="493"/>
      <c r="G106" s="493"/>
      <c r="H106" s="493"/>
      <c r="I106" s="493"/>
      <c r="J106" s="493"/>
      <c r="K106" s="493"/>
      <c r="L106" s="493"/>
      <c r="M106" s="493"/>
    </row>
    <row r="107" spans="1:13" s="88" customFormat="1" ht="16.5" customHeight="1">
      <c r="A107" s="89"/>
      <c r="B107" s="90" t="s">
        <v>4611</v>
      </c>
      <c r="C107" s="493" t="s">
        <v>4670</v>
      </c>
      <c r="D107" s="493"/>
      <c r="E107" s="493"/>
      <c r="F107" s="493"/>
      <c r="G107" s="493"/>
      <c r="H107" s="493"/>
      <c r="I107" s="493"/>
      <c r="J107" s="493"/>
      <c r="K107" s="493"/>
      <c r="L107" s="493"/>
      <c r="M107" s="493"/>
    </row>
    <row r="108" spans="1:13" s="88" customFormat="1" ht="16.5" customHeight="1">
      <c r="A108" s="89"/>
      <c r="B108" s="92" t="s">
        <v>4618</v>
      </c>
      <c r="C108" s="493" t="s">
        <v>4619</v>
      </c>
      <c r="D108" s="493"/>
      <c r="E108" s="493"/>
      <c r="F108" s="493"/>
      <c r="G108" s="493"/>
      <c r="H108" s="493"/>
      <c r="I108" s="493"/>
      <c r="J108" s="493"/>
      <c r="K108" s="493"/>
      <c r="L108" s="493"/>
      <c r="M108" s="493"/>
    </row>
    <row r="109" spans="1:13" s="88" customFormat="1" ht="16.5" customHeight="1">
      <c r="A109" s="89"/>
      <c r="B109" s="90" t="s">
        <v>4620</v>
      </c>
      <c r="C109" s="493" t="s">
        <v>4621</v>
      </c>
      <c r="D109" s="493"/>
      <c r="E109" s="493"/>
      <c r="F109" s="493"/>
      <c r="G109" s="493"/>
      <c r="H109" s="493"/>
      <c r="I109" s="493"/>
      <c r="J109" s="493"/>
      <c r="K109" s="493"/>
      <c r="L109" s="493"/>
      <c r="M109" s="493"/>
    </row>
    <row r="110" spans="1:13" s="88" customFormat="1" ht="24.75" customHeight="1">
      <c r="A110" s="89" t="s">
        <v>1228</v>
      </c>
      <c r="B110" s="493" t="s">
        <v>4622</v>
      </c>
      <c r="C110" s="493"/>
      <c r="D110" s="493"/>
      <c r="E110" s="493"/>
      <c r="F110" s="493"/>
      <c r="G110" s="493"/>
      <c r="H110" s="493"/>
      <c r="I110" s="493"/>
      <c r="J110" s="493"/>
      <c r="K110" s="493"/>
      <c r="L110" s="493"/>
      <c r="M110" s="493"/>
    </row>
    <row r="111" spans="1:13" ht="132.75" customHeight="1">
      <c r="A111" s="89" t="s">
        <v>1229</v>
      </c>
      <c r="B111" s="673" t="s">
        <v>4671</v>
      </c>
      <c r="C111" s="673"/>
      <c r="D111" s="673"/>
      <c r="E111" s="673"/>
      <c r="F111" s="673"/>
      <c r="G111" s="673"/>
      <c r="H111" s="673"/>
      <c r="I111" s="673"/>
      <c r="J111" s="673"/>
      <c r="K111" s="673"/>
      <c r="L111" s="673"/>
      <c r="M111" s="673"/>
    </row>
    <row r="112" spans="1:13" ht="21" customHeight="1">
      <c r="B112" s="494" t="s">
        <v>2863</v>
      </c>
      <c r="C112" s="494"/>
      <c r="D112" s="494"/>
      <c r="E112" s="494"/>
      <c r="F112" s="494"/>
      <c r="G112" s="494"/>
      <c r="H112" s="494"/>
      <c r="I112" s="494"/>
      <c r="J112" s="494"/>
      <c r="K112" s="494"/>
      <c r="L112" s="495"/>
    </row>
    <row r="113" spans="1:48" s="93" customFormat="1" ht="16.5" customHeight="1"/>
    <row r="114" spans="1:48" s="93" customFormat="1" ht="16.5" customHeight="1">
      <c r="A114" s="94" t="s">
        <v>1232</v>
      </c>
      <c r="B114" s="93" t="s">
        <v>1773</v>
      </c>
    </row>
    <row r="115" spans="1:48" s="93" customFormat="1" ht="16.5" customHeight="1">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spans="1:48" s="93" customFormat="1" ht="16.5" customHeight="1">
      <c r="B116" s="93" t="s">
        <v>4620</v>
      </c>
      <c r="C116" s="93" t="s">
        <v>4624</v>
      </c>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spans="1:48" s="93" customFormat="1" ht="16.5" customHeight="1">
      <c r="B117" s="93" t="s">
        <v>4411</v>
      </c>
      <c r="C117" s="93" t="s">
        <v>4625</v>
      </c>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row>
    <row r="118" spans="1:48" s="93" customFormat="1" ht="16.5" customHeight="1">
      <c r="B118" s="93">
        <v>1</v>
      </c>
      <c r="C118" s="93" t="s">
        <v>4626</v>
      </c>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spans="1:48" s="93" customFormat="1" ht="16.5" customHeight="1">
      <c r="B119" s="93">
        <v>2</v>
      </c>
      <c r="C119" s="93" t="s">
        <v>4627</v>
      </c>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spans="1:48" s="93" customFormat="1" ht="16.5" customHeight="1">
      <c r="B120" s="93">
        <v>3</v>
      </c>
      <c r="C120" s="93" t="s">
        <v>4628</v>
      </c>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1" spans="1:48" s="93" customFormat="1" ht="16.5" customHeight="1">
      <c r="B121" s="93">
        <v>4</v>
      </c>
      <c r="C121" s="93" t="s">
        <v>4629</v>
      </c>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row>
    <row r="122" spans="1:48" s="93" customFormat="1" ht="16.5" customHeight="1">
      <c r="E122" s="93" t="s">
        <v>3592</v>
      </c>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row>
    <row r="123" spans="1:48" s="93" customFormat="1" ht="16.5" customHeight="1">
      <c r="A123" s="9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row>
    <row r="124" spans="1:48" s="93" customFormat="1" ht="16.5" customHeight="1">
      <c r="B124" s="518" t="s">
        <v>4663</v>
      </c>
      <c r="C124" s="518"/>
      <c r="D124" s="518"/>
      <c r="E124" s="518"/>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row>
    <row r="125" spans="1:48" s="93" customFormat="1" ht="16.5" customHeight="1">
      <c r="B125" s="94" t="s">
        <v>4631</v>
      </c>
      <c r="C125" s="94" t="s">
        <v>4632</v>
      </c>
      <c r="D125" s="94" t="s">
        <v>4664</v>
      </c>
      <c r="E125" s="94" t="s">
        <v>4665</v>
      </c>
      <c r="F125" s="104" t="s">
        <v>1238</v>
      </c>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row>
    <row r="126" spans="1:48" s="93" customFormat="1" ht="16.5" customHeight="1">
      <c r="B126" s="148">
        <v>40558</v>
      </c>
      <c r="C126" s="148">
        <v>40909</v>
      </c>
      <c r="D126" s="93">
        <v>4</v>
      </c>
      <c r="E126" s="148">
        <f t="shared" ref="E126:E134" si="1">COUPNCD(B126,C126,D126,1)</f>
        <v>40634</v>
      </c>
      <c r="F126" s="108" t="s">
        <v>4672</v>
      </c>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row>
    <row r="127" spans="1:48" s="93" customFormat="1" ht="16.5" customHeight="1">
      <c r="B127" s="148">
        <v>40589</v>
      </c>
      <c r="C127" s="148">
        <v>40909</v>
      </c>
      <c r="D127" s="93">
        <v>4</v>
      </c>
      <c r="E127" s="148">
        <f t="shared" si="1"/>
        <v>40634</v>
      </c>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row>
    <row r="128" spans="1:48" s="93" customFormat="1" ht="16.5" customHeight="1">
      <c r="B128" s="148">
        <v>40617</v>
      </c>
      <c r="C128" s="148">
        <v>40909</v>
      </c>
      <c r="D128" s="93">
        <v>4</v>
      </c>
      <c r="E128" s="148">
        <f t="shared" si="1"/>
        <v>40634</v>
      </c>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row>
    <row r="129" spans="1:48" s="93" customFormat="1" ht="16.5" customHeight="1">
      <c r="B129" s="148">
        <v>40648</v>
      </c>
      <c r="C129" s="148">
        <v>40909</v>
      </c>
      <c r="D129" s="93">
        <v>4</v>
      </c>
      <c r="E129" s="148">
        <f t="shared" si="1"/>
        <v>40725</v>
      </c>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row>
    <row r="130" spans="1:48" s="93" customFormat="1" ht="16.5" customHeight="1">
      <c r="B130" s="148">
        <v>40678</v>
      </c>
      <c r="C130" s="148">
        <v>40909</v>
      </c>
      <c r="D130" s="93">
        <v>4</v>
      </c>
      <c r="E130" s="148">
        <f t="shared" si="1"/>
        <v>40725</v>
      </c>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48" s="93" customFormat="1" ht="16.5" customHeight="1">
      <c r="B131" s="148">
        <v>40709</v>
      </c>
      <c r="C131" s="148">
        <v>40909</v>
      </c>
      <c r="D131" s="93">
        <v>4</v>
      </c>
      <c r="E131" s="148">
        <f t="shared" si="1"/>
        <v>40725</v>
      </c>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row r="132" spans="1:48" s="93" customFormat="1" ht="16.5" customHeight="1">
      <c r="B132" s="148">
        <v>40739</v>
      </c>
      <c r="C132" s="148">
        <v>40909</v>
      </c>
      <c r="D132" s="93">
        <v>4</v>
      </c>
      <c r="E132" s="148">
        <f t="shared" si="1"/>
        <v>40817</v>
      </c>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row>
    <row r="133" spans="1:48" s="93" customFormat="1" ht="16.5" customHeight="1">
      <c r="A133" s="94"/>
      <c r="B133" s="148">
        <v>40770</v>
      </c>
      <c r="C133" s="148">
        <v>40909</v>
      </c>
      <c r="D133" s="93">
        <v>4</v>
      </c>
      <c r="E133" s="148">
        <f t="shared" si="1"/>
        <v>40817</v>
      </c>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row>
    <row r="134" spans="1:48" s="93" customFormat="1" ht="16.5" customHeight="1">
      <c r="B134" s="148">
        <v>40801</v>
      </c>
      <c r="C134" s="148">
        <v>40909</v>
      </c>
      <c r="D134" s="93">
        <v>4</v>
      </c>
      <c r="E134" s="148">
        <f t="shared" si="1"/>
        <v>40817</v>
      </c>
      <c r="F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row>
    <row r="135" spans="1:48" s="93" customFormat="1" ht="16.5" customHeight="1">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row>
    <row r="136" spans="1:48" s="93" customFormat="1" ht="16.5" customHeight="1">
      <c r="G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row>
    <row r="137" spans="1:48" s="93" customFormat="1" ht="16.5" customHeight="1">
      <c r="G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row>
    <row r="138" spans="1:48" s="93" customFormat="1" ht="16.5" customHeight="1">
      <c r="G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row>
    <row r="139" spans="1:48" s="93" customFormat="1" ht="16.5" customHeight="1">
      <c r="G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row>
    <row r="140" spans="1:48" s="93" customFormat="1" ht="16.5" customHeight="1">
      <c r="G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row>
    <row r="141" spans="1:48" s="93" customFormat="1" ht="16.5" customHeight="1">
      <c r="G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row>
    <row r="142" spans="1:48" s="93" customFormat="1" ht="16.5" customHeight="1">
      <c r="E142" s="4"/>
      <c r="F142" s="4"/>
      <c r="G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row>
    <row r="143" spans="1:48" s="93" customFormat="1" ht="16.5" customHeight="1">
      <c r="E143" s="4"/>
      <c r="F143" s="4"/>
      <c r="G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row>
    <row r="144" spans="1:48" s="93" customFormat="1" ht="16.5" customHeight="1">
      <c r="E144" s="4"/>
      <c r="F144" s="4"/>
      <c r="G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row>
    <row r="145" spans="1:48" s="93" customFormat="1" ht="16.5" customHeight="1">
      <c r="E145" s="4"/>
      <c r="F145" s="4"/>
      <c r="G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row>
    <row r="146" spans="1:48" s="93" customFormat="1" ht="16.5" customHeight="1">
      <c r="E146" s="4"/>
      <c r="F146" s="4"/>
      <c r="G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row>
    <row r="147" spans="1:48" s="93" customFormat="1" ht="16.5" customHeight="1">
      <c r="E147" s="4"/>
      <c r="F147" s="4"/>
      <c r="G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row>
    <row r="148" spans="1:48">
      <c r="A148" s="93"/>
      <c r="B148" s="93"/>
      <c r="C148" s="93"/>
      <c r="D148" s="93"/>
      <c r="H148" s="93"/>
      <c r="I148" s="93"/>
      <c r="J148" s="93"/>
      <c r="K148" s="93"/>
      <c r="L148" s="93"/>
      <c r="M148" s="93"/>
    </row>
    <row r="200" spans="1:13" s="88" customFormat="1" ht="26.25" customHeight="1">
      <c r="A200" s="498" t="s">
        <v>793</v>
      </c>
      <c r="B200" s="498"/>
      <c r="C200" s="499"/>
      <c r="D200" s="87"/>
      <c r="E200" s="500" t="str">
        <f>HYPERLINK("#目录!A374","跳转回到目录页")</f>
        <v>跳转回到目录页</v>
      </c>
      <c r="F200" s="501"/>
    </row>
    <row r="201" spans="1:13" s="88" customFormat="1" ht="26.25" customHeight="1">
      <c r="A201" s="502" t="s">
        <v>1216</v>
      </c>
      <c r="B201" s="502"/>
      <c r="C201" s="503" t="s">
        <v>579</v>
      </c>
      <c r="D201" s="503"/>
      <c r="E201" s="503"/>
      <c r="F201" s="503"/>
      <c r="G201" s="503"/>
      <c r="H201" s="503"/>
      <c r="I201" s="503"/>
      <c r="J201" s="503"/>
      <c r="K201" s="503"/>
      <c r="L201" s="503"/>
      <c r="M201" s="503"/>
    </row>
    <row r="202" spans="1:13" s="88" customFormat="1" ht="16.5" customHeight="1">
      <c r="A202" s="496" t="s">
        <v>1217</v>
      </c>
      <c r="B202" s="496"/>
      <c r="C202" s="493" t="s">
        <v>4673</v>
      </c>
      <c r="D202" s="493"/>
      <c r="E202" s="493"/>
      <c r="F202" s="493"/>
      <c r="G202" s="493"/>
      <c r="H202" s="493"/>
      <c r="I202" s="493"/>
      <c r="J202" s="493"/>
      <c r="K202" s="493"/>
      <c r="L202" s="493"/>
      <c r="M202" s="493"/>
    </row>
    <row r="203" spans="1:13" s="88" customFormat="1" ht="16.5" customHeight="1">
      <c r="A203" s="496" t="s">
        <v>5786</v>
      </c>
      <c r="B203" s="496"/>
      <c r="C203" s="497" t="s">
        <v>579</v>
      </c>
      <c r="D203" s="497"/>
      <c r="E203" s="497"/>
      <c r="F203" s="497"/>
      <c r="G203" s="497"/>
      <c r="H203" s="497"/>
      <c r="I203" s="497"/>
      <c r="J203" s="497"/>
      <c r="K203" s="497"/>
      <c r="L203" s="497"/>
      <c r="M203" s="497"/>
    </row>
    <row r="204" spans="1:13" s="88" customFormat="1" ht="16.5" customHeight="1">
      <c r="A204" s="496" t="s">
        <v>1220</v>
      </c>
      <c r="B204" s="496"/>
      <c r="C204" s="493" t="s">
        <v>4674</v>
      </c>
      <c r="D204" s="493"/>
      <c r="E204" s="493"/>
      <c r="F204" s="493"/>
      <c r="G204" s="493"/>
      <c r="H204" s="493"/>
      <c r="I204" s="493"/>
      <c r="J204" s="493"/>
      <c r="K204" s="493"/>
      <c r="L204" s="493"/>
      <c r="M204" s="493"/>
    </row>
    <row r="205" spans="1:13" s="88" customFormat="1" ht="16.5" customHeight="1">
      <c r="A205" s="496" t="s">
        <v>5785</v>
      </c>
      <c r="B205" s="496"/>
      <c r="C205" s="493" t="s">
        <v>4675</v>
      </c>
      <c r="D205" s="493"/>
      <c r="E205" s="493"/>
      <c r="F205" s="493"/>
      <c r="G205" s="493"/>
      <c r="H205" s="493"/>
      <c r="I205" s="493"/>
      <c r="J205" s="493"/>
      <c r="K205" s="493"/>
      <c r="L205" s="493"/>
      <c r="M205" s="493"/>
    </row>
    <row r="206" spans="1:13" s="88" customFormat="1" ht="16.5" customHeight="1">
      <c r="A206" s="89" t="s">
        <v>1223</v>
      </c>
      <c r="B206" s="92" t="s">
        <v>4609</v>
      </c>
      <c r="C206" s="493" t="s">
        <v>4610</v>
      </c>
      <c r="D206" s="493"/>
      <c r="E206" s="493"/>
      <c r="F206" s="493"/>
      <c r="G206" s="493"/>
      <c r="H206" s="493"/>
      <c r="I206" s="493"/>
      <c r="J206" s="493"/>
      <c r="K206" s="493"/>
      <c r="L206" s="493"/>
      <c r="M206" s="493"/>
    </row>
    <row r="207" spans="1:13" s="88" customFormat="1" ht="16.5" customHeight="1">
      <c r="A207" s="89"/>
      <c r="B207" s="92" t="s">
        <v>4611</v>
      </c>
      <c r="C207" s="493" t="s">
        <v>4612</v>
      </c>
      <c r="D207" s="493"/>
      <c r="E207" s="493"/>
      <c r="F207" s="493"/>
      <c r="G207" s="493"/>
      <c r="H207" s="493"/>
      <c r="I207" s="493"/>
      <c r="J207" s="493"/>
      <c r="K207" s="493"/>
      <c r="L207" s="493"/>
      <c r="M207" s="493"/>
    </row>
    <row r="208" spans="1:13" s="88" customFormat="1" ht="16.5" customHeight="1">
      <c r="A208" s="89"/>
      <c r="B208" s="92" t="s">
        <v>4618</v>
      </c>
      <c r="C208" s="493" t="s">
        <v>4619</v>
      </c>
      <c r="D208" s="493"/>
      <c r="E208" s="493"/>
      <c r="F208" s="493"/>
      <c r="G208" s="493"/>
      <c r="H208" s="493"/>
      <c r="I208" s="493"/>
      <c r="J208" s="493"/>
      <c r="K208" s="493"/>
      <c r="L208" s="493"/>
      <c r="M208" s="493"/>
    </row>
    <row r="209" spans="1:13" s="88" customFormat="1" ht="16.5" customHeight="1">
      <c r="A209" s="89"/>
      <c r="B209" s="90" t="s">
        <v>4620</v>
      </c>
      <c r="C209" s="493" t="s">
        <v>4621</v>
      </c>
      <c r="D209" s="493"/>
      <c r="E209" s="493"/>
      <c r="F209" s="493"/>
      <c r="G209" s="493"/>
      <c r="H209" s="493"/>
      <c r="I209" s="493"/>
      <c r="J209" s="493"/>
      <c r="K209" s="493"/>
      <c r="L209" s="493"/>
      <c r="M209" s="493"/>
    </row>
    <row r="210" spans="1:13" s="88" customFormat="1" ht="24.75" customHeight="1">
      <c r="A210" s="89" t="s">
        <v>1228</v>
      </c>
      <c r="B210" s="493" t="s">
        <v>4622</v>
      </c>
      <c r="C210" s="493"/>
      <c r="D210" s="493"/>
      <c r="E210" s="493"/>
      <c r="F210" s="493"/>
      <c r="G210" s="493"/>
      <c r="H210" s="493"/>
      <c r="I210" s="493"/>
      <c r="J210" s="493"/>
      <c r="K210" s="493"/>
      <c r="L210" s="493"/>
      <c r="M210" s="493"/>
    </row>
    <row r="211" spans="1:13" ht="123" customHeight="1">
      <c r="A211" s="89" t="s">
        <v>1229</v>
      </c>
      <c r="B211" s="673" t="s">
        <v>4676</v>
      </c>
      <c r="C211" s="673"/>
      <c r="D211" s="673"/>
      <c r="E211" s="673"/>
      <c r="F211" s="673"/>
      <c r="G211" s="673"/>
      <c r="H211" s="673"/>
      <c r="I211" s="673"/>
      <c r="J211" s="673"/>
      <c r="K211" s="673"/>
      <c r="L211" s="673"/>
      <c r="M211" s="673"/>
    </row>
    <row r="212" spans="1:13" ht="21" customHeight="1">
      <c r="B212" s="494" t="s">
        <v>2863</v>
      </c>
      <c r="C212" s="494"/>
      <c r="D212" s="494"/>
      <c r="E212" s="494"/>
      <c r="F212" s="494"/>
      <c r="G212" s="494"/>
      <c r="H212" s="494"/>
      <c r="I212" s="494"/>
      <c r="J212" s="494"/>
      <c r="K212" s="494"/>
      <c r="L212" s="495"/>
    </row>
    <row r="213" spans="1:13" s="93" customFormat="1" ht="16.5" customHeight="1"/>
    <row r="214" spans="1:13" s="93" customFormat="1" ht="16.5" customHeight="1">
      <c r="A214" s="94" t="s">
        <v>1232</v>
      </c>
      <c r="B214" s="93" t="s">
        <v>1773</v>
      </c>
      <c r="H214" s="4"/>
    </row>
    <row r="215" spans="1:13" ht="16.5" customHeight="1">
      <c r="F215" s="93"/>
      <c r="G215" s="93"/>
    </row>
    <row r="216" spans="1:13" ht="16.5" customHeight="1">
      <c r="B216" s="93" t="s">
        <v>4620</v>
      </c>
      <c r="C216" s="93" t="s">
        <v>4624</v>
      </c>
      <c r="F216" s="93"/>
      <c r="G216" s="93"/>
    </row>
    <row r="217" spans="1:13" ht="16.5" customHeight="1">
      <c r="B217" s="93" t="s">
        <v>4411</v>
      </c>
      <c r="C217" s="93" t="s">
        <v>4625</v>
      </c>
      <c r="F217" s="93"/>
      <c r="G217" s="93"/>
    </row>
    <row r="218" spans="1:13" ht="16.5" customHeight="1">
      <c r="B218" s="93">
        <v>1</v>
      </c>
      <c r="C218" s="93" t="s">
        <v>4626</v>
      </c>
      <c r="F218" s="93"/>
      <c r="G218" s="93"/>
    </row>
    <row r="219" spans="1:13" ht="16.5" customHeight="1">
      <c r="B219" s="93">
        <v>2</v>
      </c>
      <c r="C219" s="93" t="s">
        <v>4627</v>
      </c>
      <c r="F219" s="93"/>
      <c r="G219" s="93"/>
    </row>
    <row r="220" spans="1:13" ht="16.5" customHeight="1">
      <c r="B220" s="93">
        <v>3</v>
      </c>
      <c r="C220" s="93" t="s">
        <v>4628</v>
      </c>
      <c r="F220" s="93"/>
      <c r="G220" s="93"/>
    </row>
    <row r="221" spans="1:13" ht="16.5" customHeight="1">
      <c r="B221" s="93">
        <v>4</v>
      </c>
      <c r="C221" s="93" t="s">
        <v>4629</v>
      </c>
      <c r="F221" s="93"/>
      <c r="G221" s="93"/>
    </row>
    <row r="222" spans="1:13" ht="16.5" customHeight="1"/>
    <row r="223" spans="1:13" ht="16.5" customHeight="1"/>
    <row r="224" spans="1:13" ht="16.5" customHeight="1">
      <c r="B224" s="518" t="s">
        <v>4663</v>
      </c>
      <c r="C224" s="518"/>
      <c r="D224" s="518"/>
      <c r="E224" s="518"/>
      <c r="F224" s="93"/>
    </row>
    <row r="225" spans="2:6" ht="16.5" customHeight="1">
      <c r="B225" s="94" t="s">
        <v>4631</v>
      </c>
      <c r="C225" s="94" t="s">
        <v>4632</v>
      </c>
      <c r="D225" s="94" t="s">
        <v>4664</v>
      </c>
      <c r="E225" s="93" t="s">
        <v>4677</v>
      </c>
    </row>
    <row r="226" spans="2:6" ht="16.5" customHeight="1">
      <c r="B226" s="148">
        <v>40558</v>
      </c>
      <c r="C226" s="148">
        <v>40909</v>
      </c>
      <c r="D226" s="93">
        <v>4</v>
      </c>
      <c r="E226" s="93">
        <f t="shared" ref="E226:E234" si="2">COUPDAYBS(B226,C226,D226,1)</f>
        <v>14</v>
      </c>
      <c r="F226" s="104" t="s">
        <v>1238</v>
      </c>
    </row>
    <row r="227" spans="2:6" ht="16.5" customHeight="1">
      <c r="B227" s="148">
        <v>40589</v>
      </c>
      <c r="C227" s="148">
        <v>40909</v>
      </c>
      <c r="D227" s="93">
        <v>4</v>
      </c>
      <c r="E227" s="93">
        <f t="shared" si="2"/>
        <v>45</v>
      </c>
      <c r="F227" s="108" t="s">
        <v>4678</v>
      </c>
    </row>
    <row r="228" spans="2:6" ht="16.5" customHeight="1">
      <c r="B228" s="148">
        <v>40617</v>
      </c>
      <c r="C228" s="148">
        <v>40909</v>
      </c>
      <c r="D228" s="93">
        <v>4</v>
      </c>
      <c r="E228" s="93">
        <f t="shared" si="2"/>
        <v>73</v>
      </c>
      <c r="F228" s="93"/>
    </row>
    <row r="229" spans="2:6" ht="16.5" customHeight="1">
      <c r="B229" s="148">
        <v>40648</v>
      </c>
      <c r="C229" s="148">
        <v>40909</v>
      </c>
      <c r="D229" s="93">
        <v>4</v>
      </c>
      <c r="E229" s="93">
        <f t="shared" si="2"/>
        <v>14</v>
      </c>
      <c r="F229" s="93"/>
    </row>
    <row r="230" spans="2:6" ht="16.5" customHeight="1">
      <c r="B230" s="148">
        <v>40678</v>
      </c>
      <c r="C230" s="148">
        <v>40909</v>
      </c>
      <c r="D230" s="93">
        <v>4</v>
      </c>
      <c r="E230" s="93">
        <f t="shared" si="2"/>
        <v>44</v>
      </c>
      <c r="F230" s="93"/>
    </row>
    <row r="231" spans="2:6">
      <c r="B231" s="148">
        <v>40709</v>
      </c>
      <c r="C231" s="148">
        <v>40909</v>
      </c>
      <c r="D231" s="93">
        <v>4</v>
      </c>
      <c r="E231" s="93">
        <f t="shared" si="2"/>
        <v>75</v>
      </c>
      <c r="F231" s="93"/>
    </row>
    <row r="232" spans="2:6">
      <c r="B232" s="148">
        <v>40739</v>
      </c>
      <c r="C232" s="148">
        <v>40909</v>
      </c>
      <c r="D232" s="93">
        <v>4</v>
      </c>
      <c r="E232" s="93">
        <f t="shared" si="2"/>
        <v>14</v>
      </c>
      <c r="F232" s="93"/>
    </row>
    <row r="233" spans="2:6">
      <c r="B233" s="148">
        <v>40770</v>
      </c>
      <c r="C233" s="148">
        <v>40909</v>
      </c>
      <c r="D233" s="93">
        <v>4</v>
      </c>
      <c r="E233" s="93">
        <f t="shared" si="2"/>
        <v>45</v>
      </c>
      <c r="F233" s="93"/>
    </row>
    <row r="234" spans="2:6">
      <c r="B234" s="148">
        <v>40801</v>
      </c>
      <c r="C234" s="148">
        <v>40909</v>
      </c>
      <c r="D234" s="93">
        <v>4</v>
      </c>
      <c r="E234" s="93">
        <f t="shared" si="2"/>
        <v>76</v>
      </c>
    </row>
    <row r="300" spans="1:13" s="88" customFormat="1" ht="26.25" customHeight="1">
      <c r="A300" s="498" t="s">
        <v>580</v>
      </c>
      <c r="B300" s="498"/>
      <c r="C300" s="499"/>
      <c r="D300" s="87"/>
      <c r="E300" s="500" t="str">
        <f>HYPERLINK("#目录!A375","跳转回到目录页")</f>
        <v>跳转回到目录页</v>
      </c>
      <c r="F300" s="501"/>
    </row>
    <row r="301" spans="1:13" s="88" customFormat="1" ht="26.25" customHeight="1">
      <c r="A301" s="502" t="s">
        <v>1216</v>
      </c>
      <c r="B301" s="502"/>
      <c r="C301" s="503" t="s">
        <v>581</v>
      </c>
      <c r="D301" s="503"/>
      <c r="E301" s="503"/>
      <c r="F301" s="503"/>
      <c r="G301" s="503"/>
      <c r="H301" s="503"/>
      <c r="I301" s="503"/>
      <c r="J301" s="503"/>
      <c r="K301" s="503"/>
      <c r="L301" s="503"/>
      <c r="M301" s="503"/>
    </row>
    <row r="302" spans="1:13" s="88" customFormat="1" ht="16.5" customHeight="1">
      <c r="A302" s="496" t="s">
        <v>1217</v>
      </c>
      <c r="B302" s="496"/>
      <c r="C302" s="493" t="s">
        <v>4679</v>
      </c>
      <c r="D302" s="493"/>
      <c r="E302" s="493"/>
      <c r="F302" s="493"/>
      <c r="G302" s="493"/>
      <c r="H302" s="493"/>
      <c r="I302" s="493"/>
      <c r="J302" s="493"/>
      <c r="K302" s="493"/>
      <c r="L302" s="493"/>
      <c r="M302" s="493"/>
    </row>
    <row r="303" spans="1:13" s="88" customFormat="1" ht="16.5" customHeight="1">
      <c r="A303" s="496" t="s">
        <v>5786</v>
      </c>
      <c r="B303" s="496"/>
      <c r="C303" s="497" t="s">
        <v>581</v>
      </c>
      <c r="D303" s="497"/>
      <c r="E303" s="497"/>
      <c r="F303" s="497"/>
      <c r="G303" s="497"/>
      <c r="H303" s="497"/>
      <c r="I303" s="497"/>
      <c r="J303" s="497"/>
      <c r="K303" s="497"/>
      <c r="L303" s="497"/>
      <c r="M303" s="497"/>
    </row>
    <row r="304" spans="1:13" s="88" customFormat="1" ht="16.5" customHeight="1">
      <c r="A304" s="496" t="s">
        <v>1220</v>
      </c>
      <c r="B304" s="496"/>
      <c r="C304" s="493" t="s">
        <v>4680</v>
      </c>
      <c r="D304" s="493"/>
      <c r="E304" s="493"/>
      <c r="F304" s="493"/>
      <c r="G304" s="493"/>
      <c r="H304" s="493"/>
      <c r="I304" s="493"/>
      <c r="J304" s="493"/>
      <c r="K304" s="493"/>
      <c r="L304" s="493"/>
      <c r="M304" s="493"/>
    </row>
    <row r="305" spans="1:13" s="88" customFormat="1" ht="16.5" customHeight="1">
      <c r="A305" s="496" t="s">
        <v>5785</v>
      </c>
      <c r="B305" s="496"/>
      <c r="C305" s="493" t="s">
        <v>4681</v>
      </c>
      <c r="D305" s="493"/>
      <c r="E305" s="493"/>
      <c r="F305" s="493"/>
      <c r="G305" s="493"/>
      <c r="H305" s="493"/>
      <c r="I305" s="493"/>
      <c r="J305" s="493"/>
      <c r="K305" s="493"/>
      <c r="L305" s="493"/>
      <c r="M305" s="493"/>
    </row>
    <row r="306" spans="1:13" s="88" customFormat="1" ht="16.5" customHeight="1">
      <c r="A306" s="89" t="s">
        <v>1223</v>
      </c>
      <c r="B306" s="92" t="s">
        <v>4609</v>
      </c>
      <c r="C306" s="493" t="s">
        <v>4610</v>
      </c>
      <c r="D306" s="493"/>
      <c r="E306" s="493"/>
      <c r="F306" s="493"/>
      <c r="G306" s="493"/>
      <c r="H306" s="493"/>
      <c r="I306" s="493"/>
      <c r="J306" s="493"/>
      <c r="K306" s="493"/>
      <c r="L306" s="493"/>
      <c r="M306" s="493"/>
    </row>
    <row r="307" spans="1:13" s="88" customFormat="1" ht="16.5" customHeight="1">
      <c r="A307" s="89"/>
      <c r="B307" s="92" t="s">
        <v>4611</v>
      </c>
      <c r="C307" s="493" t="s">
        <v>4612</v>
      </c>
      <c r="D307" s="493"/>
      <c r="E307" s="493"/>
      <c r="F307" s="493"/>
      <c r="G307" s="493"/>
      <c r="H307" s="493"/>
      <c r="I307" s="493"/>
      <c r="J307" s="493"/>
      <c r="K307" s="493"/>
      <c r="L307" s="493"/>
      <c r="M307" s="493"/>
    </row>
    <row r="308" spans="1:13" s="88" customFormat="1" ht="16.5" customHeight="1">
      <c r="A308" s="89"/>
      <c r="B308" s="90" t="s">
        <v>4618</v>
      </c>
      <c r="C308" s="493" t="s">
        <v>4619</v>
      </c>
      <c r="D308" s="493"/>
      <c r="E308" s="493"/>
      <c r="F308" s="493"/>
      <c r="G308" s="493"/>
      <c r="H308" s="493"/>
      <c r="I308" s="493"/>
      <c r="J308" s="493"/>
      <c r="K308" s="493"/>
      <c r="L308" s="493"/>
      <c r="M308" s="493"/>
    </row>
    <row r="309" spans="1:13" s="88" customFormat="1" ht="16.5" customHeight="1">
      <c r="A309" s="89"/>
      <c r="B309" s="90" t="s">
        <v>4620</v>
      </c>
      <c r="C309" s="493" t="s">
        <v>4621</v>
      </c>
      <c r="D309" s="493"/>
      <c r="E309" s="493"/>
      <c r="F309" s="493"/>
      <c r="G309" s="493"/>
      <c r="H309" s="493"/>
      <c r="I309" s="493"/>
      <c r="J309" s="493"/>
      <c r="K309" s="493"/>
      <c r="L309" s="493"/>
      <c r="M309" s="493"/>
    </row>
    <row r="310" spans="1:13" s="88" customFormat="1" ht="24.75" customHeight="1">
      <c r="A310" s="89" t="s">
        <v>1228</v>
      </c>
      <c r="B310" s="493" t="s">
        <v>4622</v>
      </c>
      <c r="C310" s="493"/>
      <c r="D310" s="493"/>
      <c r="E310" s="493"/>
      <c r="F310" s="493"/>
      <c r="G310" s="493"/>
      <c r="H310" s="493"/>
      <c r="I310" s="493"/>
      <c r="J310" s="493"/>
      <c r="K310" s="493"/>
      <c r="L310" s="493"/>
      <c r="M310" s="493"/>
    </row>
    <row r="311" spans="1:13" ht="123" customHeight="1">
      <c r="A311" s="89" t="s">
        <v>1229</v>
      </c>
      <c r="B311" s="673" t="s">
        <v>4682</v>
      </c>
      <c r="C311" s="673"/>
      <c r="D311" s="673"/>
      <c r="E311" s="673"/>
      <c r="F311" s="673"/>
      <c r="G311" s="673"/>
      <c r="H311" s="673"/>
      <c r="I311" s="673"/>
      <c r="J311" s="673"/>
      <c r="K311" s="673"/>
      <c r="L311" s="673"/>
      <c r="M311" s="673"/>
    </row>
    <row r="312" spans="1:13" ht="21" customHeight="1">
      <c r="B312" s="494" t="s">
        <v>2863</v>
      </c>
      <c r="C312" s="494"/>
      <c r="D312" s="494"/>
      <c r="E312" s="494"/>
      <c r="F312" s="494"/>
      <c r="G312" s="494"/>
      <c r="H312" s="494"/>
      <c r="I312" s="494"/>
      <c r="J312" s="494"/>
      <c r="K312" s="494"/>
      <c r="L312" s="495"/>
    </row>
    <row r="313" spans="1:13" s="93" customFormat="1" ht="16.5" customHeight="1"/>
    <row r="314" spans="1:13" s="93" customFormat="1" ht="16.5" customHeight="1">
      <c r="A314" s="94" t="s">
        <v>1232</v>
      </c>
      <c r="B314" s="93" t="s">
        <v>1773</v>
      </c>
      <c r="G314" s="4"/>
    </row>
    <row r="315" spans="1:13" ht="16.5" customHeight="1">
      <c r="E315" s="93"/>
      <c r="F315" s="93"/>
    </row>
    <row r="316" spans="1:13" ht="16.5" customHeight="1">
      <c r="B316" s="93" t="s">
        <v>4620</v>
      </c>
      <c r="C316" s="93" t="s">
        <v>4624</v>
      </c>
      <c r="E316" s="93"/>
      <c r="F316" s="93"/>
    </row>
    <row r="317" spans="1:13" ht="16.5" customHeight="1">
      <c r="B317" s="93" t="s">
        <v>4411</v>
      </c>
      <c r="C317" s="93" t="s">
        <v>4625</v>
      </c>
      <c r="E317" s="93"/>
      <c r="F317" s="93"/>
    </row>
    <row r="318" spans="1:13" ht="16.5" customHeight="1">
      <c r="B318" s="93">
        <v>1</v>
      </c>
      <c r="C318" s="93" t="s">
        <v>4626</v>
      </c>
      <c r="E318" s="93"/>
      <c r="F318" s="93"/>
    </row>
    <row r="319" spans="1:13" ht="16.5" customHeight="1">
      <c r="B319" s="93">
        <v>2</v>
      </c>
      <c r="C319" s="93" t="s">
        <v>4627</v>
      </c>
      <c r="E319" s="93"/>
      <c r="F319" s="93"/>
    </row>
    <row r="320" spans="1:13" ht="16.5" customHeight="1">
      <c r="B320" s="93">
        <v>3</v>
      </c>
      <c r="C320" s="93" t="s">
        <v>4628</v>
      </c>
      <c r="E320" s="93"/>
      <c r="F320" s="93"/>
    </row>
    <row r="321" spans="2:9" ht="16.5" customHeight="1">
      <c r="B321" s="93">
        <v>4</v>
      </c>
      <c r="C321" s="93" t="s">
        <v>4629</v>
      </c>
    </row>
    <row r="322" spans="2:9" ht="16.5" customHeight="1">
      <c r="E322" s="93" t="s">
        <v>3592</v>
      </c>
      <c r="F322" s="93"/>
    </row>
    <row r="323" spans="2:9" ht="16.5" customHeight="1">
      <c r="E323" s="93"/>
      <c r="F323" s="93"/>
    </row>
    <row r="324" spans="2:9" ht="16.5" customHeight="1">
      <c r="B324" s="518" t="s">
        <v>4683</v>
      </c>
      <c r="C324" s="518"/>
      <c r="D324" s="518"/>
      <c r="E324" s="518"/>
      <c r="F324" s="93"/>
      <c r="H324" s="93"/>
      <c r="I324" s="93"/>
    </row>
    <row r="325" spans="2:9" ht="16.5" customHeight="1">
      <c r="B325" s="94" t="s">
        <v>4631</v>
      </c>
      <c r="C325" s="94" t="s">
        <v>4632</v>
      </c>
      <c r="D325" s="94" t="s">
        <v>4664</v>
      </c>
      <c r="E325" s="93" t="s">
        <v>4683</v>
      </c>
      <c r="H325" s="93"/>
      <c r="I325" s="93"/>
    </row>
    <row r="326" spans="2:9" ht="16.5" customHeight="1">
      <c r="B326" s="148">
        <v>40558</v>
      </c>
      <c r="C326" s="148">
        <v>40909</v>
      </c>
      <c r="D326" s="93">
        <v>4</v>
      </c>
      <c r="E326" s="93">
        <f t="shared" ref="E326:E334" si="3">COUPDAYSNC(B326,C326,D326,1)</f>
        <v>76</v>
      </c>
      <c r="F326" s="104" t="s">
        <v>1238</v>
      </c>
      <c r="H326" s="93"/>
      <c r="I326" s="93"/>
    </row>
    <row r="327" spans="2:9" ht="16.5" customHeight="1">
      <c r="B327" s="148">
        <v>40589</v>
      </c>
      <c r="C327" s="148">
        <v>40909</v>
      </c>
      <c r="D327" s="93">
        <v>4</v>
      </c>
      <c r="E327" s="93">
        <f t="shared" si="3"/>
        <v>45</v>
      </c>
      <c r="F327" s="108" t="s">
        <v>4684</v>
      </c>
      <c r="H327" s="93"/>
      <c r="I327" s="93"/>
    </row>
    <row r="328" spans="2:9" ht="16.5" customHeight="1">
      <c r="B328" s="148">
        <v>40617</v>
      </c>
      <c r="C328" s="148">
        <v>40909</v>
      </c>
      <c r="D328" s="93">
        <v>4</v>
      </c>
      <c r="E328" s="93">
        <f t="shared" si="3"/>
        <v>17</v>
      </c>
      <c r="F328" s="93"/>
      <c r="H328" s="93"/>
      <c r="I328" s="93"/>
    </row>
    <row r="329" spans="2:9" ht="16.5" customHeight="1">
      <c r="B329" s="148">
        <v>40648</v>
      </c>
      <c r="C329" s="148">
        <v>40909</v>
      </c>
      <c r="D329" s="93">
        <v>4</v>
      </c>
      <c r="E329" s="93">
        <f t="shared" si="3"/>
        <v>77</v>
      </c>
      <c r="F329" s="93"/>
      <c r="H329" s="93"/>
      <c r="I329" s="93"/>
    </row>
    <row r="330" spans="2:9" ht="16.5" customHeight="1">
      <c r="B330" s="148">
        <v>40678</v>
      </c>
      <c r="C330" s="148">
        <v>40909</v>
      </c>
      <c r="D330" s="93">
        <v>4</v>
      </c>
      <c r="E330" s="93">
        <f t="shared" si="3"/>
        <v>47</v>
      </c>
      <c r="F330" s="93"/>
      <c r="H330" s="93"/>
      <c r="I330" s="93"/>
    </row>
    <row r="331" spans="2:9" ht="16.5" customHeight="1">
      <c r="B331" s="148">
        <v>40709</v>
      </c>
      <c r="C331" s="148">
        <v>40909</v>
      </c>
      <c r="D331" s="93">
        <v>4</v>
      </c>
      <c r="E331" s="93">
        <f t="shared" si="3"/>
        <v>16</v>
      </c>
      <c r="F331" s="93"/>
      <c r="H331" s="93"/>
      <c r="I331" s="93"/>
    </row>
    <row r="332" spans="2:9" ht="16.5" customHeight="1">
      <c r="B332" s="148">
        <v>40739</v>
      </c>
      <c r="C332" s="148">
        <v>40909</v>
      </c>
      <c r="D332" s="93">
        <v>4</v>
      </c>
      <c r="E332" s="93">
        <f t="shared" si="3"/>
        <v>78</v>
      </c>
      <c r="F332" s="93"/>
      <c r="H332" s="93"/>
      <c r="I332" s="93"/>
    </row>
    <row r="333" spans="2:9" ht="16.5" customHeight="1">
      <c r="B333" s="148">
        <v>40770</v>
      </c>
      <c r="C333" s="148">
        <v>40909</v>
      </c>
      <c r="D333" s="93">
        <v>4</v>
      </c>
      <c r="E333" s="93">
        <f t="shared" si="3"/>
        <v>47</v>
      </c>
      <c r="F333" s="93"/>
      <c r="H333" s="93"/>
      <c r="I333" s="93"/>
    </row>
    <row r="334" spans="2:9">
      <c r="B334" s="148">
        <v>40801</v>
      </c>
      <c r="C334" s="148">
        <v>40909</v>
      </c>
      <c r="D334" s="93">
        <v>4</v>
      </c>
      <c r="E334" s="93">
        <f t="shared" si="3"/>
        <v>16</v>
      </c>
      <c r="H334" s="93"/>
      <c r="I334" s="93"/>
    </row>
    <row r="400" spans="1:6" s="88" customFormat="1" ht="26.25" customHeight="1">
      <c r="A400" s="498" t="s">
        <v>795</v>
      </c>
      <c r="B400" s="498"/>
      <c r="C400" s="499"/>
      <c r="D400" s="87"/>
      <c r="E400" s="500" t="str">
        <f>HYPERLINK("#目录!A376","跳转回到目录页")</f>
        <v>跳转回到目录页</v>
      </c>
      <c r="F400" s="501"/>
    </row>
    <row r="401" spans="1:13" s="88" customFormat="1" ht="26.25" customHeight="1">
      <c r="A401" s="502" t="s">
        <v>1216</v>
      </c>
      <c r="B401" s="502"/>
      <c r="C401" s="503" t="s">
        <v>581</v>
      </c>
      <c r="D401" s="503"/>
      <c r="E401" s="503"/>
      <c r="F401" s="503"/>
      <c r="G401" s="503"/>
      <c r="H401" s="503"/>
      <c r="I401" s="503"/>
      <c r="J401" s="503"/>
      <c r="K401" s="503"/>
      <c r="L401" s="503"/>
      <c r="M401" s="503"/>
    </row>
    <row r="402" spans="1:13" s="88" customFormat="1" ht="16.5" customHeight="1">
      <c r="A402" s="496" t="s">
        <v>1217</v>
      </c>
      <c r="B402" s="496"/>
      <c r="C402" s="493" t="s">
        <v>4685</v>
      </c>
      <c r="D402" s="493"/>
      <c r="E402" s="493"/>
      <c r="F402" s="493"/>
      <c r="G402" s="493"/>
      <c r="H402" s="493"/>
      <c r="I402" s="493"/>
      <c r="J402" s="493"/>
      <c r="K402" s="493"/>
      <c r="L402" s="493"/>
      <c r="M402" s="493"/>
    </row>
    <row r="403" spans="1:13" s="88" customFormat="1" ht="16.5" customHeight="1">
      <c r="A403" s="496" t="s">
        <v>5786</v>
      </c>
      <c r="B403" s="496"/>
      <c r="C403" s="497" t="s">
        <v>581</v>
      </c>
      <c r="D403" s="497"/>
      <c r="E403" s="497"/>
      <c r="F403" s="497"/>
      <c r="G403" s="497"/>
      <c r="H403" s="497"/>
      <c r="I403" s="497"/>
      <c r="J403" s="497"/>
      <c r="K403" s="497"/>
      <c r="L403" s="497"/>
      <c r="M403" s="497"/>
    </row>
    <row r="404" spans="1:13" s="88" customFormat="1" ht="16.5" customHeight="1">
      <c r="A404" s="496" t="s">
        <v>1220</v>
      </c>
      <c r="B404" s="496"/>
      <c r="C404" s="493" t="s">
        <v>4686</v>
      </c>
      <c r="D404" s="493"/>
      <c r="E404" s="493"/>
      <c r="F404" s="493"/>
      <c r="G404" s="493"/>
      <c r="H404" s="493"/>
      <c r="I404" s="493"/>
      <c r="J404" s="493"/>
      <c r="K404" s="493"/>
      <c r="L404" s="493"/>
      <c r="M404" s="493"/>
    </row>
    <row r="405" spans="1:13" s="88" customFormat="1" ht="16.5" customHeight="1">
      <c r="A405" s="496" t="s">
        <v>5785</v>
      </c>
      <c r="B405" s="496"/>
      <c r="C405" s="493" t="s">
        <v>4687</v>
      </c>
      <c r="D405" s="493"/>
      <c r="E405" s="493"/>
      <c r="F405" s="493"/>
      <c r="G405" s="493"/>
      <c r="H405" s="493"/>
      <c r="I405" s="493"/>
      <c r="J405" s="493"/>
      <c r="K405" s="493"/>
      <c r="L405" s="493"/>
      <c r="M405" s="493"/>
    </row>
    <row r="406" spans="1:13" s="88" customFormat="1" ht="16.5" customHeight="1">
      <c r="A406" s="89" t="s">
        <v>1223</v>
      </c>
      <c r="B406" s="92" t="s">
        <v>4609</v>
      </c>
      <c r="C406" s="493" t="s">
        <v>4610</v>
      </c>
      <c r="D406" s="493"/>
      <c r="E406" s="493"/>
      <c r="F406" s="493"/>
      <c r="G406" s="493"/>
      <c r="H406" s="493"/>
      <c r="I406" s="493"/>
      <c r="J406" s="493"/>
      <c r="K406" s="493"/>
      <c r="L406" s="493"/>
      <c r="M406" s="493"/>
    </row>
    <row r="407" spans="1:13" s="88" customFormat="1" ht="16.5" customHeight="1">
      <c r="A407" s="89"/>
      <c r="B407" s="92" t="s">
        <v>4611</v>
      </c>
      <c r="C407" s="493" t="s">
        <v>4612</v>
      </c>
      <c r="D407" s="493"/>
      <c r="E407" s="493"/>
      <c r="F407" s="493"/>
      <c r="G407" s="493"/>
      <c r="H407" s="493"/>
      <c r="I407" s="493"/>
      <c r="J407" s="493"/>
      <c r="K407" s="493"/>
      <c r="L407" s="493"/>
      <c r="M407" s="493"/>
    </row>
    <row r="408" spans="1:13" s="88" customFormat="1" ht="16.5" customHeight="1">
      <c r="A408" s="89"/>
      <c r="B408" s="92" t="s">
        <v>4618</v>
      </c>
      <c r="C408" s="493" t="s">
        <v>4619</v>
      </c>
      <c r="D408" s="493"/>
      <c r="E408" s="493"/>
      <c r="F408" s="493"/>
      <c r="G408" s="493"/>
      <c r="H408" s="493"/>
      <c r="I408" s="493"/>
      <c r="J408" s="493"/>
      <c r="K408" s="493"/>
      <c r="L408" s="493"/>
      <c r="M408" s="493"/>
    </row>
    <row r="409" spans="1:13" s="88" customFormat="1" ht="16.5" customHeight="1">
      <c r="A409" s="89"/>
      <c r="B409" s="90" t="s">
        <v>4620</v>
      </c>
      <c r="C409" s="493" t="s">
        <v>4621</v>
      </c>
      <c r="D409" s="493"/>
      <c r="E409" s="493"/>
      <c r="F409" s="493"/>
      <c r="G409" s="493"/>
      <c r="H409" s="493"/>
      <c r="I409" s="493"/>
      <c r="J409" s="493"/>
      <c r="K409" s="493"/>
      <c r="L409" s="493"/>
      <c r="M409" s="493"/>
    </row>
    <row r="410" spans="1:13" s="88" customFormat="1" ht="24.75" customHeight="1">
      <c r="A410" s="89" t="s">
        <v>1228</v>
      </c>
      <c r="B410" s="493" t="s">
        <v>4622</v>
      </c>
      <c r="C410" s="493"/>
      <c r="D410" s="493"/>
      <c r="E410" s="493"/>
      <c r="F410" s="493"/>
      <c r="G410" s="493"/>
      <c r="H410" s="493"/>
      <c r="I410" s="493"/>
      <c r="J410" s="493"/>
      <c r="K410" s="493"/>
      <c r="L410" s="493"/>
      <c r="M410" s="493"/>
    </row>
    <row r="411" spans="1:13" ht="121.5" customHeight="1">
      <c r="A411" s="89" t="s">
        <v>1229</v>
      </c>
      <c r="B411" s="673" t="s">
        <v>4688</v>
      </c>
      <c r="C411" s="673"/>
      <c r="D411" s="673"/>
      <c r="E411" s="673"/>
      <c r="F411" s="673"/>
      <c r="G411" s="673"/>
      <c r="H411" s="673"/>
      <c r="I411" s="673"/>
      <c r="J411" s="673"/>
      <c r="K411" s="673"/>
      <c r="L411" s="673"/>
      <c r="M411" s="673"/>
    </row>
    <row r="412" spans="1:13" ht="21" customHeight="1">
      <c r="B412" s="494" t="s">
        <v>2863</v>
      </c>
      <c r="C412" s="494"/>
      <c r="D412" s="494"/>
      <c r="E412" s="494"/>
      <c r="F412" s="494"/>
      <c r="G412" s="494"/>
      <c r="H412" s="494"/>
      <c r="I412" s="494"/>
      <c r="J412" s="494"/>
      <c r="K412" s="494"/>
      <c r="L412" s="495"/>
    </row>
    <row r="413" spans="1:13" s="93" customFormat="1" ht="16.5" customHeight="1"/>
    <row r="414" spans="1:13" s="93" customFormat="1" ht="16.5" customHeight="1">
      <c r="A414" s="94" t="s">
        <v>1232</v>
      </c>
      <c r="B414" s="93" t="s">
        <v>1773</v>
      </c>
      <c r="G414" s="4"/>
    </row>
    <row r="415" spans="1:13" ht="16.5" customHeight="1">
      <c r="E415" s="93"/>
      <c r="F415" s="93"/>
    </row>
    <row r="416" spans="1:13" ht="16.5" customHeight="1">
      <c r="B416" s="93" t="s">
        <v>4620</v>
      </c>
      <c r="C416" s="93" t="s">
        <v>4624</v>
      </c>
      <c r="E416" s="93"/>
      <c r="F416" s="93"/>
    </row>
    <row r="417" spans="2:9" ht="16.5" customHeight="1">
      <c r="B417" s="93" t="s">
        <v>4411</v>
      </c>
      <c r="C417" s="93" t="s">
        <v>4625</v>
      </c>
      <c r="E417" s="93"/>
      <c r="F417" s="93"/>
    </row>
    <row r="418" spans="2:9" ht="16.5" customHeight="1">
      <c r="B418" s="93">
        <v>1</v>
      </c>
      <c r="C418" s="93" t="s">
        <v>4626</v>
      </c>
      <c r="E418" s="93"/>
      <c r="F418" s="93"/>
    </row>
    <row r="419" spans="2:9" ht="16.5" customHeight="1">
      <c r="B419" s="93">
        <v>2</v>
      </c>
      <c r="C419" s="93" t="s">
        <v>4627</v>
      </c>
      <c r="E419" s="93"/>
      <c r="F419" s="93"/>
    </row>
    <row r="420" spans="2:9" ht="16.5" customHeight="1">
      <c r="B420" s="93">
        <v>3</v>
      </c>
      <c r="C420" s="93" t="s">
        <v>4628</v>
      </c>
      <c r="E420" s="93"/>
      <c r="F420" s="93"/>
    </row>
    <row r="421" spans="2:9" ht="16.5" customHeight="1">
      <c r="B421" s="93">
        <v>4</v>
      </c>
      <c r="C421" s="93" t="s">
        <v>4629</v>
      </c>
      <c r="E421" s="93"/>
      <c r="F421" s="93"/>
    </row>
    <row r="422" spans="2:9" ht="16.5" customHeight="1">
      <c r="E422" s="93" t="s">
        <v>3592</v>
      </c>
      <c r="F422" s="93"/>
    </row>
    <row r="423" spans="2:9" ht="16.5" customHeight="1">
      <c r="E423" s="93"/>
      <c r="F423" s="93"/>
    </row>
    <row r="424" spans="2:9" ht="16.5" customHeight="1">
      <c r="B424" s="518" t="s">
        <v>4689</v>
      </c>
      <c r="C424" s="518"/>
      <c r="D424" s="518"/>
      <c r="E424" s="518"/>
      <c r="F424" s="93"/>
      <c r="H424" s="93"/>
      <c r="I424" s="93"/>
    </row>
    <row r="425" spans="2:9" ht="16.5" customHeight="1">
      <c r="B425" s="94" t="s">
        <v>4631</v>
      </c>
      <c r="C425" s="94" t="s">
        <v>4632</v>
      </c>
      <c r="D425" s="94" t="s">
        <v>4664</v>
      </c>
      <c r="E425" s="93" t="s">
        <v>4690</v>
      </c>
      <c r="H425" s="93"/>
      <c r="I425" s="93"/>
    </row>
    <row r="426" spans="2:9" ht="16.5" customHeight="1">
      <c r="B426" s="148">
        <v>40558</v>
      </c>
      <c r="C426" s="148">
        <v>40909</v>
      </c>
      <c r="D426" s="93">
        <v>4</v>
      </c>
      <c r="E426" s="93">
        <f t="shared" ref="E426:E434" si="4">COUPDAYS(B426,C426,D426,1)</f>
        <v>90</v>
      </c>
      <c r="F426" s="104" t="s">
        <v>1238</v>
      </c>
      <c r="H426" s="93"/>
      <c r="I426" s="93"/>
    </row>
    <row r="427" spans="2:9" ht="16.5" customHeight="1">
      <c r="B427" s="148">
        <v>40589</v>
      </c>
      <c r="C427" s="148">
        <v>40909</v>
      </c>
      <c r="D427" s="93">
        <v>4</v>
      </c>
      <c r="E427" s="93">
        <f t="shared" si="4"/>
        <v>90</v>
      </c>
      <c r="F427" s="108" t="s">
        <v>4691</v>
      </c>
      <c r="H427" s="93"/>
      <c r="I427" s="93"/>
    </row>
    <row r="428" spans="2:9" ht="16.5" customHeight="1">
      <c r="B428" s="148">
        <v>40617</v>
      </c>
      <c r="C428" s="148">
        <v>40909</v>
      </c>
      <c r="D428" s="93">
        <v>4</v>
      </c>
      <c r="E428" s="93">
        <f t="shared" si="4"/>
        <v>90</v>
      </c>
      <c r="F428" s="93"/>
      <c r="H428" s="93"/>
      <c r="I428" s="93"/>
    </row>
    <row r="429" spans="2:9" ht="16.5" customHeight="1">
      <c r="B429" s="148">
        <v>40648</v>
      </c>
      <c r="C429" s="148">
        <v>40909</v>
      </c>
      <c r="D429" s="93">
        <v>4</v>
      </c>
      <c r="E429" s="93">
        <f t="shared" si="4"/>
        <v>91</v>
      </c>
      <c r="F429" s="93"/>
      <c r="H429" s="93"/>
      <c r="I429" s="93"/>
    </row>
    <row r="430" spans="2:9" ht="16.5" customHeight="1">
      <c r="B430" s="148">
        <v>40678</v>
      </c>
      <c r="C430" s="148">
        <v>40909</v>
      </c>
      <c r="D430" s="93">
        <v>4</v>
      </c>
      <c r="E430" s="93">
        <f t="shared" si="4"/>
        <v>91</v>
      </c>
      <c r="F430" s="93"/>
      <c r="H430" s="93"/>
      <c r="I430" s="93"/>
    </row>
    <row r="431" spans="2:9" ht="16.5" customHeight="1">
      <c r="B431" s="148">
        <v>40709</v>
      </c>
      <c r="C431" s="148">
        <v>40909</v>
      </c>
      <c r="D431" s="93">
        <v>4</v>
      </c>
      <c r="E431" s="93">
        <f t="shared" si="4"/>
        <v>91</v>
      </c>
      <c r="F431" s="93"/>
      <c r="H431" s="93"/>
      <c r="I431" s="93"/>
    </row>
    <row r="432" spans="2:9" ht="16.5" customHeight="1">
      <c r="B432" s="148">
        <v>40739</v>
      </c>
      <c r="C432" s="148">
        <v>40909</v>
      </c>
      <c r="D432" s="93">
        <v>4</v>
      </c>
      <c r="E432" s="93">
        <f t="shared" si="4"/>
        <v>92</v>
      </c>
      <c r="F432" s="93"/>
      <c r="H432" s="93"/>
      <c r="I432" s="93"/>
    </row>
    <row r="433" spans="2:9" ht="16.5" customHeight="1">
      <c r="B433" s="148">
        <v>40770</v>
      </c>
      <c r="C433" s="148">
        <v>40909</v>
      </c>
      <c r="D433" s="93">
        <v>4</v>
      </c>
      <c r="E433" s="93">
        <f t="shared" si="4"/>
        <v>92</v>
      </c>
      <c r="F433" s="93"/>
      <c r="H433" s="93"/>
      <c r="I433" s="93"/>
    </row>
    <row r="434" spans="2:9">
      <c r="B434" s="148">
        <v>40801</v>
      </c>
      <c r="C434" s="148">
        <v>40909</v>
      </c>
      <c r="D434" s="93">
        <v>4</v>
      </c>
      <c r="E434" s="93">
        <f t="shared" si="4"/>
        <v>92</v>
      </c>
      <c r="H434" s="93"/>
      <c r="I434" s="93"/>
    </row>
    <row r="435" spans="2:9">
      <c r="H435" s="93"/>
      <c r="I435" s="93"/>
    </row>
    <row r="500" spans="1:13" s="88" customFormat="1" ht="26.25" customHeight="1">
      <c r="A500" s="498" t="s">
        <v>799</v>
      </c>
      <c r="B500" s="498"/>
      <c r="C500" s="499"/>
      <c r="D500" s="87"/>
      <c r="E500" s="500" t="str">
        <f>HYPERLINK("#目录!A377","跳转回到目录页")</f>
        <v>跳转回到目录页</v>
      </c>
      <c r="F500" s="501"/>
    </row>
    <row r="501" spans="1:13" s="88" customFormat="1" ht="26.25" customHeight="1">
      <c r="A501" s="502" t="s">
        <v>1216</v>
      </c>
      <c r="B501" s="502"/>
      <c r="C501" s="503" t="s">
        <v>4692</v>
      </c>
      <c r="D501" s="503"/>
      <c r="E501" s="503"/>
      <c r="F501" s="503"/>
      <c r="G501" s="503"/>
      <c r="H501" s="503"/>
      <c r="I501" s="503"/>
      <c r="J501" s="503"/>
      <c r="K501" s="503"/>
      <c r="L501" s="503"/>
      <c r="M501" s="503"/>
    </row>
    <row r="502" spans="1:13" s="88" customFormat="1" ht="16.5" customHeight="1">
      <c r="A502" s="496" t="s">
        <v>1217</v>
      </c>
      <c r="B502" s="496"/>
      <c r="C502" s="493" t="s">
        <v>4693</v>
      </c>
      <c r="D502" s="493"/>
      <c r="E502" s="493"/>
      <c r="F502" s="493"/>
      <c r="G502" s="493"/>
      <c r="H502" s="493"/>
      <c r="I502" s="493"/>
      <c r="J502" s="493"/>
      <c r="K502" s="493"/>
      <c r="L502" s="493"/>
      <c r="M502" s="493"/>
    </row>
    <row r="503" spans="1:13" s="88" customFormat="1" ht="16.5" customHeight="1">
      <c r="A503" s="496" t="s">
        <v>5786</v>
      </c>
      <c r="B503" s="496"/>
      <c r="C503" s="497" t="s">
        <v>4692</v>
      </c>
      <c r="D503" s="497"/>
      <c r="E503" s="497"/>
      <c r="F503" s="497"/>
      <c r="G503" s="497"/>
      <c r="H503" s="497"/>
      <c r="I503" s="497"/>
      <c r="J503" s="497"/>
      <c r="K503" s="497"/>
      <c r="L503" s="497"/>
      <c r="M503" s="497"/>
    </row>
    <row r="504" spans="1:13" s="88" customFormat="1" ht="16.5" customHeight="1">
      <c r="A504" s="496" t="s">
        <v>1220</v>
      </c>
      <c r="B504" s="496"/>
      <c r="C504" s="493" t="s">
        <v>4694</v>
      </c>
      <c r="D504" s="493"/>
      <c r="E504" s="493"/>
      <c r="F504" s="493"/>
      <c r="G504" s="493"/>
      <c r="H504" s="493"/>
      <c r="I504" s="493"/>
      <c r="J504" s="493"/>
      <c r="K504" s="493"/>
      <c r="L504" s="493"/>
      <c r="M504" s="493"/>
    </row>
    <row r="505" spans="1:13" s="88" customFormat="1" ht="16.5" customHeight="1">
      <c r="A505" s="496" t="s">
        <v>5785</v>
      </c>
      <c r="B505" s="496"/>
      <c r="C505" s="493" t="s">
        <v>4695</v>
      </c>
      <c r="D505" s="493"/>
      <c r="E505" s="493"/>
      <c r="F505" s="493"/>
      <c r="G505" s="493"/>
      <c r="H505" s="493"/>
      <c r="I505" s="493"/>
      <c r="J505" s="493"/>
      <c r="K505" s="493"/>
      <c r="L505" s="493"/>
      <c r="M505" s="493"/>
    </row>
    <row r="506" spans="1:13" s="88" customFormat="1" ht="16.5" customHeight="1">
      <c r="A506" s="89" t="s">
        <v>1223</v>
      </c>
      <c r="B506" s="92" t="s">
        <v>4609</v>
      </c>
      <c r="C506" s="493" t="s">
        <v>4661</v>
      </c>
      <c r="D506" s="493"/>
      <c r="E506" s="493"/>
      <c r="F506" s="493"/>
      <c r="G506" s="493"/>
      <c r="H506" s="493"/>
      <c r="I506" s="493"/>
      <c r="J506" s="493"/>
      <c r="K506" s="493"/>
      <c r="L506" s="493"/>
      <c r="M506" s="493"/>
    </row>
    <row r="507" spans="1:13" s="88" customFormat="1" ht="16.5" customHeight="1">
      <c r="A507" s="89"/>
      <c r="B507" s="92" t="s">
        <v>4611</v>
      </c>
      <c r="C507" s="493" t="s">
        <v>4612</v>
      </c>
      <c r="D507" s="493"/>
      <c r="E507" s="493"/>
      <c r="F507" s="493"/>
      <c r="G507" s="493"/>
      <c r="H507" s="493"/>
      <c r="I507" s="493"/>
      <c r="J507" s="493"/>
      <c r="K507" s="493"/>
      <c r="L507" s="493"/>
      <c r="M507" s="493"/>
    </row>
    <row r="508" spans="1:13" s="88" customFormat="1" ht="16.5" customHeight="1">
      <c r="A508" s="89"/>
      <c r="B508" s="92" t="s">
        <v>4618</v>
      </c>
      <c r="C508" s="493" t="s">
        <v>4619</v>
      </c>
      <c r="D508" s="493"/>
      <c r="E508" s="493"/>
      <c r="F508" s="493"/>
      <c r="G508" s="493"/>
      <c r="H508" s="493"/>
      <c r="I508" s="493"/>
      <c r="J508" s="493"/>
      <c r="K508" s="493"/>
      <c r="L508" s="493"/>
      <c r="M508" s="493"/>
    </row>
    <row r="509" spans="1:13" s="88" customFormat="1" ht="16.5" customHeight="1">
      <c r="A509" s="89"/>
      <c r="B509" s="90" t="s">
        <v>4620</v>
      </c>
      <c r="C509" s="493" t="s">
        <v>4621</v>
      </c>
      <c r="D509" s="493"/>
      <c r="E509" s="493"/>
      <c r="F509" s="493"/>
      <c r="G509" s="493"/>
      <c r="H509" s="493"/>
      <c r="I509" s="493"/>
      <c r="J509" s="493"/>
      <c r="K509" s="493"/>
      <c r="L509" s="493"/>
      <c r="M509" s="493"/>
    </row>
    <row r="510" spans="1:13" s="88" customFormat="1" ht="24.75" customHeight="1">
      <c r="A510" s="89" t="s">
        <v>1228</v>
      </c>
      <c r="B510" s="493" t="s">
        <v>4622</v>
      </c>
      <c r="C510" s="493"/>
      <c r="D510" s="493"/>
      <c r="E510" s="493"/>
      <c r="F510" s="493"/>
      <c r="G510" s="493"/>
      <c r="H510" s="493"/>
      <c r="I510" s="493"/>
      <c r="J510" s="493"/>
      <c r="K510" s="493"/>
      <c r="L510" s="493"/>
      <c r="M510" s="493"/>
    </row>
    <row r="511" spans="1:13" ht="122.25" customHeight="1">
      <c r="A511" s="89" t="s">
        <v>1229</v>
      </c>
      <c r="B511" s="673" t="s">
        <v>4662</v>
      </c>
      <c r="C511" s="673"/>
      <c r="D511" s="673"/>
      <c r="E511" s="673"/>
      <c r="F511" s="673"/>
      <c r="G511" s="673"/>
      <c r="H511" s="673"/>
      <c r="I511" s="673"/>
      <c r="J511" s="673"/>
      <c r="K511" s="673"/>
      <c r="L511" s="673"/>
      <c r="M511" s="673"/>
    </row>
    <row r="512" spans="1:13" ht="21" customHeight="1">
      <c r="B512" s="494" t="s">
        <v>2863</v>
      </c>
      <c r="C512" s="494"/>
      <c r="D512" s="494"/>
      <c r="E512" s="494"/>
      <c r="F512" s="494"/>
      <c r="G512" s="494"/>
      <c r="H512" s="494"/>
      <c r="I512" s="494"/>
      <c r="J512" s="494"/>
      <c r="K512" s="494"/>
      <c r="L512" s="495"/>
    </row>
    <row r="513" spans="1:8" s="93" customFormat="1" ht="16.5" customHeight="1"/>
    <row r="514" spans="1:8" s="93" customFormat="1" ht="16.5" customHeight="1">
      <c r="A514" s="94" t="s">
        <v>1232</v>
      </c>
      <c r="B514" s="93" t="s">
        <v>1773</v>
      </c>
      <c r="G514" s="4"/>
    </row>
    <row r="515" spans="1:8" ht="16.5" customHeight="1">
      <c r="E515" s="93"/>
      <c r="F515" s="93"/>
    </row>
    <row r="516" spans="1:8" ht="16.5" customHeight="1">
      <c r="B516" s="93" t="s">
        <v>4620</v>
      </c>
      <c r="C516" s="93" t="s">
        <v>4624</v>
      </c>
      <c r="E516" s="93"/>
      <c r="F516" s="93"/>
    </row>
    <row r="517" spans="1:8" ht="16.5" customHeight="1">
      <c r="B517" s="93" t="s">
        <v>4411</v>
      </c>
      <c r="C517" s="93" t="s">
        <v>4625</v>
      </c>
      <c r="E517" s="93"/>
      <c r="F517" s="93"/>
    </row>
    <row r="518" spans="1:8" ht="16.5" customHeight="1">
      <c r="B518" s="93">
        <v>1</v>
      </c>
      <c r="C518" s="93" t="s">
        <v>4626</v>
      </c>
      <c r="E518" s="93"/>
      <c r="F518" s="93"/>
    </row>
    <row r="519" spans="1:8" ht="16.5" customHeight="1">
      <c r="B519" s="93">
        <v>2</v>
      </c>
      <c r="C519" s="93" t="s">
        <v>4627</v>
      </c>
      <c r="E519" s="93"/>
      <c r="F519" s="93"/>
    </row>
    <row r="520" spans="1:8" ht="16.5" customHeight="1">
      <c r="B520" s="93">
        <v>3</v>
      </c>
      <c r="C520" s="93" t="s">
        <v>4628</v>
      </c>
      <c r="E520" s="93"/>
      <c r="F520" s="93"/>
    </row>
    <row r="521" spans="1:8" ht="16.5" customHeight="1">
      <c r="B521" s="93">
        <v>4</v>
      </c>
      <c r="C521" s="93" t="s">
        <v>4629</v>
      </c>
    </row>
    <row r="522" spans="1:8" ht="16.5" customHeight="1">
      <c r="E522" s="93" t="s">
        <v>3592</v>
      </c>
      <c r="F522" s="93"/>
    </row>
    <row r="523" spans="1:8" ht="16.5" customHeight="1"/>
    <row r="524" spans="1:8" ht="16.5" customHeight="1">
      <c r="B524" s="518" t="s">
        <v>583</v>
      </c>
      <c r="C524" s="518"/>
      <c r="D524" s="518"/>
      <c r="E524" s="518"/>
      <c r="F524" s="93"/>
      <c r="H524" s="93"/>
    </row>
    <row r="525" spans="1:8" ht="16.5" customHeight="1">
      <c r="B525" s="94" t="s">
        <v>4631</v>
      </c>
      <c r="C525" s="94" t="s">
        <v>4632</v>
      </c>
      <c r="D525" s="94" t="s">
        <v>4664</v>
      </c>
      <c r="E525" s="93" t="s">
        <v>4696</v>
      </c>
      <c r="H525" s="93"/>
    </row>
    <row r="526" spans="1:8" ht="16.5" customHeight="1">
      <c r="B526" s="148">
        <v>40558</v>
      </c>
      <c r="C526" s="148">
        <v>40909</v>
      </c>
      <c r="D526" s="93">
        <v>4</v>
      </c>
      <c r="E526" s="93">
        <f t="shared" ref="E526:E534" si="5">COUPNUM(B526,C526,D526,1)</f>
        <v>4</v>
      </c>
      <c r="F526" s="104" t="s">
        <v>1238</v>
      </c>
      <c r="H526" s="93"/>
    </row>
    <row r="527" spans="1:8" ht="16.5" customHeight="1">
      <c r="B527" s="148">
        <v>40589</v>
      </c>
      <c r="C527" s="148">
        <v>40909</v>
      </c>
      <c r="D527" s="93">
        <v>4</v>
      </c>
      <c r="E527" s="93">
        <f t="shared" si="5"/>
        <v>4</v>
      </c>
      <c r="F527" s="108" t="s">
        <v>4697</v>
      </c>
      <c r="H527" s="93"/>
    </row>
    <row r="528" spans="1:8" ht="16.5" customHeight="1">
      <c r="B528" s="148">
        <v>40617</v>
      </c>
      <c r="C528" s="148">
        <v>40909</v>
      </c>
      <c r="D528" s="93">
        <v>4</v>
      </c>
      <c r="E528" s="93">
        <f t="shared" si="5"/>
        <v>4</v>
      </c>
      <c r="F528" s="93"/>
      <c r="H528" s="93"/>
    </row>
    <row r="529" spans="2:8" ht="16.5" customHeight="1">
      <c r="B529" s="148">
        <v>40648</v>
      </c>
      <c r="C529" s="148">
        <v>40909</v>
      </c>
      <c r="D529" s="93">
        <v>4</v>
      </c>
      <c r="E529" s="93">
        <f t="shared" si="5"/>
        <v>3</v>
      </c>
      <c r="F529" s="93"/>
      <c r="H529" s="93"/>
    </row>
    <row r="530" spans="2:8" ht="16.5" customHeight="1">
      <c r="B530" s="148">
        <v>40678</v>
      </c>
      <c r="C530" s="148">
        <v>40909</v>
      </c>
      <c r="D530" s="93">
        <v>4</v>
      </c>
      <c r="E530" s="93">
        <f t="shared" si="5"/>
        <v>3</v>
      </c>
      <c r="F530" s="93"/>
      <c r="H530" s="93"/>
    </row>
    <row r="531" spans="2:8" ht="16.5" customHeight="1">
      <c r="B531" s="148">
        <v>40709</v>
      </c>
      <c r="C531" s="148">
        <v>40909</v>
      </c>
      <c r="D531" s="93">
        <v>4</v>
      </c>
      <c r="E531" s="93">
        <f t="shared" si="5"/>
        <v>3</v>
      </c>
      <c r="F531" s="93"/>
      <c r="H531" s="93"/>
    </row>
    <row r="532" spans="2:8" ht="16.5" customHeight="1">
      <c r="B532" s="148">
        <v>40739</v>
      </c>
      <c r="C532" s="148">
        <v>40909</v>
      </c>
      <c r="D532" s="93">
        <v>4</v>
      </c>
      <c r="E532" s="93">
        <f t="shared" si="5"/>
        <v>2</v>
      </c>
      <c r="F532" s="93"/>
      <c r="H532" s="93"/>
    </row>
    <row r="533" spans="2:8" ht="16.5" customHeight="1">
      <c r="B533" s="148">
        <v>40770</v>
      </c>
      <c r="C533" s="148">
        <v>40909</v>
      </c>
      <c r="D533" s="93">
        <v>4</v>
      </c>
      <c r="E533" s="93">
        <f t="shared" si="5"/>
        <v>2</v>
      </c>
      <c r="F533" s="93"/>
      <c r="H533" s="93"/>
    </row>
    <row r="534" spans="2:8" ht="16.5" customHeight="1">
      <c r="B534" s="148">
        <v>40801</v>
      </c>
      <c r="C534" s="148">
        <v>40909</v>
      </c>
      <c r="D534" s="93">
        <v>4</v>
      </c>
      <c r="E534" s="93">
        <f t="shared" si="5"/>
        <v>2</v>
      </c>
      <c r="H534" s="93"/>
    </row>
    <row r="535" spans="2:8" ht="16.5" customHeight="1"/>
    <row r="536" spans="2:8" ht="16.5" customHeight="1"/>
    <row r="537" spans="2:8" ht="16.5" customHeight="1"/>
    <row r="538" spans="2:8" ht="16.5" customHeight="1"/>
  </sheetData>
  <mergeCells count="120">
    <mergeCell ref="A4:B4"/>
    <mergeCell ref="C4:M4"/>
    <mergeCell ref="A5:B5"/>
    <mergeCell ref="C5:M5"/>
    <mergeCell ref="A6:B6"/>
    <mergeCell ref="C6:M6"/>
    <mergeCell ref="A1:C1"/>
    <mergeCell ref="E1:F1"/>
    <mergeCell ref="A2:B2"/>
    <mergeCell ref="C2:M2"/>
    <mergeCell ref="A3:B3"/>
    <mergeCell ref="C3:M3"/>
    <mergeCell ref="B13:L13"/>
    <mergeCell ref="B25:E25"/>
    <mergeCell ref="A100:C100"/>
    <mergeCell ref="E100:F100"/>
    <mergeCell ref="A101:B101"/>
    <mergeCell ref="C101:M101"/>
    <mergeCell ref="C7:M7"/>
    <mergeCell ref="C8:M8"/>
    <mergeCell ref="C9:M9"/>
    <mergeCell ref="C10:M10"/>
    <mergeCell ref="B11:M11"/>
    <mergeCell ref="B12:M12"/>
    <mergeCell ref="A105:B105"/>
    <mergeCell ref="C105:M105"/>
    <mergeCell ref="C106:M106"/>
    <mergeCell ref="C107:M107"/>
    <mergeCell ref="C108:M108"/>
    <mergeCell ref="C109:M109"/>
    <mergeCell ref="A102:B102"/>
    <mergeCell ref="C102:M102"/>
    <mergeCell ref="A103:B103"/>
    <mergeCell ref="C103:M103"/>
    <mergeCell ref="A104:B104"/>
    <mergeCell ref="C104:M104"/>
    <mergeCell ref="A201:B201"/>
    <mergeCell ref="C201:M201"/>
    <mergeCell ref="A202:B202"/>
    <mergeCell ref="C202:M202"/>
    <mergeCell ref="A203:B203"/>
    <mergeCell ref="C203:M203"/>
    <mergeCell ref="B110:M110"/>
    <mergeCell ref="B111:M111"/>
    <mergeCell ref="B112:L112"/>
    <mergeCell ref="B124:E124"/>
    <mergeCell ref="A200:C200"/>
    <mergeCell ref="E200:F200"/>
    <mergeCell ref="C208:M208"/>
    <mergeCell ref="C209:M209"/>
    <mergeCell ref="B210:M210"/>
    <mergeCell ref="B211:M211"/>
    <mergeCell ref="B212:L212"/>
    <mergeCell ref="B224:E224"/>
    <mergeCell ref="A204:B204"/>
    <mergeCell ref="C204:M204"/>
    <mergeCell ref="A205:B205"/>
    <mergeCell ref="C205:M205"/>
    <mergeCell ref="C206:M206"/>
    <mergeCell ref="C207:M207"/>
    <mergeCell ref="A303:B303"/>
    <mergeCell ref="C303:M303"/>
    <mergeCell ref="A304:B304"/>
    <mergeCell ref="C304:M304"/>
    <mergeCell ref="A305:B305"/>
    <mergeCell ref="C305:M305"/>
    <mergeCell ref="A300:C300"/>
    <mergeCell ref="E300:F300"/>
    <mergeCell ref="A301:B301"/>
    <mergeCell ref="C301:M301"/>
    <mergeCell ref="A302:B302"/>
    <mergeCell ref="C302:M302"/>
    <mergeCell ref="B312:L312"/>
    <mergeCell ref="B324:E324"/>
    <mergeCell ref="A400:C400"/>
    <mergeCell ref="E400:F400"/>
    <mergeCell ref="A401:B401"/>
    <mergeCell ref="C401:M401"/>
    <mergeCell ref="C306:M306"/>
    <mergeCell ref="C307:M307"/>
    <mergeCell ref="C308:M308"/>
    <mergeCell ref="C309:M309"/>
    <mergeCell ref="B310:M310"/>
    <mergeCell ref="B311:M311"/>
    <mergeCell ref="A405:B405"/>
    <mergeCell ref="C405:M405"/>
    <mergeCell ref="C406:M406"/>
    <mergeCell ref="C407:M407"/>
    <mergeCell ref="C408:M408"/>
    <mergeCell ref="C409:M409"/>
    <mergeCell ref="A402:B402"/>
    <mergeCell ref="C402:M402"/>
    <mergeCell ref="A403:B403"/>
    <mergeCell ref="C403:M403"/>
    <mergeCell ref="A404:B404"/>
    <mergeCell ref="C404:M404"/>
    <mergeCell ref="A501:B501"/>
    <mergeCell ref="C501:M501"/>
    <mergeCell ref="A502:B502"/>
    <mergeCell ref="C502:M502"/>
    <mergeCell ref="A503:B503"/>
    <mergeCell ref="C503:M503"/>
    <mergeCell ref="B410:M410"/>
    <mergeCell ref="B411:M411"/>
    <mergeCell ref="B412:L412"/>
    <mergeCell ref="B424:E424"/>
    <mergeCell ref="A500:C500"/>
    <mergeCell ref="E500:F500"/>
    <mergeCell ref="C508:M508"/>
    <mergeCell ref="C509:M509"/>
    <mergeCell ref="B510:M510"/>
    <mergeCell ref="B511:M511"/>
    <mergeCell ref="B512:L512"/>
    <mergeCell ref="B524:E524"/>
    <mergeCell ref="A504:B504"/>
    <mergeCell ref="C504:M504"/>
    <mergeCell ref="A505:B505"/>
    <mergeCell ref="C505:M505"/>
    <mergeCell ref="C506:M506"/>
    <mergeCell ref="C507:M507"/>
  </mergeCells>
  <phoneticPr fontId="2" type="noConversion"/>
  <pageMargins left="0.75" right="0.75" top="1" bottom="1" header="0.5" footer="0.5"/>
  <headerFooter scaleWithDoc="0"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4"/>
  <dimension ref="A1:AV136"/>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855</v>
      </c>
      <c r="B1" s="498"/>
      <c r="C1" s="499"/>
      <c r="D1" s="87"/>
      <c r="E1" s="500" t="str">
        <f>HYPERLINK("#目录!A379","跳转回到目录页")</f>
        <v>跳转回到目录页</v>
      </c>
      <c r="F1" s="501"/>
    </row>
    <row r="2" spans="1:13" s="88" customFormat="1" ht="26.25" customHeight="1">
      <c r="A2" s="502" t="s">
        <v>1216</v>
      </c>
      <c r="B2" s="502"/>
      <c r="C2" s="503" t="s">
        <v>585</v>
      </c>
      <c r="D2" s="503"/>
      <c r="E2" s="503"/>
      <c r="F2" s="503"/>
      <c r="G2" s="503"/>
      <c r="H2" s="503"/>
      <c r="I2" s="503"/>
      <c r="J2" s="503"/>
      <c r="K2" s="503"/>
      <c r="L2" s="503"/>
      <c r="M2" s="503"/>
    </row>
    <row r="3" spans="1:13" s="88" customFormat="1" ht="24.75" customHeight="1">
      <c r="A3" s="496" t="s">
        <v>1217</v>
      </c>
      <c r="B3" s="496"/>
      <c r="C3" s="493" t="s">
        <v>4698</v>
      </c>
      <c r="D3" s="493"/>
      <c r="E3" s="493"/>
      <c r="F3" s="493"/>
      <c r="G3" s="493"/>
      <c r="H3" s="493"/>
      <c r="I3" s="493"/>
      <c r="J3" s="493"/>
      <c r="K3" s="493"/>
      <c r="L3" s="493"/>
      <c r="M3" s="493"/>
    </row>
    <row r="4" spans="1:13" s="88" customFormat="1" ht="16.5" customHeight="1">
      <c r="A4" s="496" t="s">
        <v>5786</v>
      </c>
      <c r="B4" s="496"/>
      <c r="C4" s="497" t="s">
        <v>585</v>
      </c>
      <c r="D4" s="497"/>
      <c r="E4" s="497"/>
      <c r="F4" s="497"/>
      <c r="G4" s="497"/>
      <c r="H4" s="497"/>
      <c r="I4" s="497"/>
      <c r="J4" s="497"/>
      <c r="K4" s="497"/>
      <c r="L4" s="497"/>
      <c r="M4" s="497"/>
    </row>
    <row r="5" spans="1:13" s="88" customFormat="1" ht="16.5" customHeight="1">
      <c r="A5" s="496" t="s">
        <v>1220</v>
      </c>
      <c r="B5" s="496"/>
      <c r="C5" s="493" t="s">
        <v>4699</v>
      </c>
      <c r="D5" s="493"/>
      <c r="E5" s="493"/>
      <c r="F5" s="493"/>
      <c r="G5" s="493"/>
      <c r="H5" s="493"/>
      <c r="I5" s="493"/>
      <c r="J5" s="493"/>
      <c r="K5" s="493"/>
      <c r="L5" s="493"/>
      <c r="M5" s="493"/>
    </row>
    <row r="6" spans="1:13" s="88" customFormat="1" ht="16.5" customHeight="1">
      <c r="A6" s="496" t="s">
        <v>5785</v>
      </c>
      <c r="B6" s="496"/>
      <c r="C6" s="493" t="s">
        <v>4700</v>
      </c>
      <c r="D6" s="493"/>
      <c r="E6" s="493"/>
      <c r="F6" s="493"/>
      <c r="G6" s="493"/>
      <c r="H6" s="493"/>
      <c r="I6" s="493"/>
      <c r="J6" s="493"/>
      <c r="K6" s="493"/>
      <c r="L6" s="493"/>
      <c r="M6" s="493"/>
    </row>
    <row r="7" spans="1:13" s="88" customFormat="1" ht="16.5" customHeight="1">
      <c r="A7" s="89" t="s">
        <v>1223</v>
      </c>
      <c r="B7" s="92" t="s">
        <v>4609</v>
      </c>
      <c r="C7" s="493" t="s">
        <v>4610</v>
      </c>
      <c r="D7" s="493"/>
      <c r="E7" s="493"/>
      <c r="F7" s="493"/>
      <c r="G7" s="493"/>
      <c r="H7" s="493"/>
      <c r="I7" s="493"/>
      <c r="J7" s="493"/>
      <c r="K7" s="493"/>
      <c r="L7" s="493"/>
      <c r="M7" s="493"/>
    </row>
    <row r="8" spans="1:13" s="88" customFormat="1" ht="16.5" customHeight="1">
      <c r="A8" s="89"/>
      <c r="B8" s="92" t="s">
        <v>4611</v>
      </c>
      <c r="C8" s="493" t="s">
        <v>4612</v>
      </c>
      <c r="D8" s="493"/>
      <c r="E8" s="493"/>
      <c r="F8" s="493"/>
      <c r="G8" s="493"/>
      <c r="H8" s="493"/>
      <c r="I8" s="493"/>
      <c r="J8" s="493"/>
      <c r="K8" s="493"/>
      <c r="L8" s="493"/>
      <c r="M8" s="493"/>
    </row>
    <row r="9" spans="1:13" s="88" customFormat="1" ht="16.5" customHeight="1">
      <c r="A9" s="89"/>
      <c r="B9" s="90" t="s">
        <v>4701</v>
      </c>
      <c r="C9" s="493" t="s">
        <v>4613</v>
      </c>
      <c r="D9" s="493"/>
      <c r="E9" s="493"/>
      <c r="F9" s="493"/>
      <c r="G9" s="493"/>
      <c r="H9" s="493"/>
      <c r="I9" s="493"/>
      <c r="J9" s="493"/>
      <c r="K9" s="493"/>
      <c r="L9" s="493"/>
      <c r="M9" s="493"/>
    </row>
    <row r="10" spans="1:13" s="88" customFormat="1" ht="16.5" customHeight="1">
      <c r="A10" s="89"/>
      <c r="B10" s="92" t="s">
        <v>4640</v>
      </c>
      <c r="C10" s="493" t="s">
        <v>4641</v>
      </c>
      <c r="D10" s="493"/>
      <c r="E10" s="493"/>
      <c r="F10" s="493"/>
      <c r="G10" s="493"/>
      <c r="H10" s="493"/>
      <c r="I10" s="493"/>
      <c r="J10" s="493"/>
      <c r="K10" s="493"/>
      <c r="L10" s="493"/>
      <c r="M10" s="493"/>
    </row>
    <row r="11" spans="1:13" s="88" customFormat="1" ht="16.5" customHeight="1">
      <c r="A11" s="89"/>
      <c r="B11" s="92" t="s">
        <v>4618</v>
      </c>
      <c r="C11" s="493" t="s">
        <v>4619</v>
      </c>
      <c r="D11" s="493"/>
      <c r="E11" s="493"/>
      <c r="F11" s="493"/>
      <c r="G11" s="493"/>
      <c r="H11" s="493"/>
      <c r="I11" s="493"/>
      <c r="J11" s="493"/>
      <c r="K11" s="493"/>
      <c r="L11" s="493"/>
      <c r="M11" s="493"/>
    </row>
    <row r="12" spans="1:13" s="88" customFormat="1" ht="16.5" customHeight="1">
      <c r="A12" s="89"/>
      <c r="B12" s="90" t="s">
        <v>4620</v>
      </c>
      <c r="C12" s="493" t="s">
        <v>4621</v>
      </c>
      <c r="D12" s="493"/>
      <c r="E12" s="493"/>
      <c r="F12" s="493"/>
      <c r="G12" s="493"/>
      <c r="H12" s="493"/>
      <c r="I12" s="493"/>
      <c r="J12" s="493"/>
      <c r="K12" s="493"/>
      <c r="L12" s="493"/>
      <c r="M12" s="493"/>
    </row>
    <row r="13" spans="1:13" s="88" customFormat="1" ht="24.75" customHeight="1">
      <c r="A13" s="89" t="s">
        <v>1228</v>
      </c>
      <c r="B13" s="493" t="s">
        <v>4622</v>
      </c>
      <c r="C13" s="493"/>
      <c r="D13" s="493"/>
      <c r="E13" s="493"/>
      <c r="F13" s="493"/>
      <c r="G13" s="493"/>
      <c r="H13" s="493"/>
      <c r="I13" s="493"/>
      <c r="J13" s="493"/>
      <c r="K13" s="493"/>
      <c r="L13" s="493"/>
      <c r="M13" s="493"/>
    </row>
    <row r="14" spans="1:13" ht="135.75" customHeight="1">
      <c r="A14" s="89" t="s">
        <v>1229</v>
      </c>
      <c r="B14" s="673" t="s">
        <v>4702</v>
      </c>
      <c r="C14" s="673"/>
      <c r="D14" s="673"/>
      <c r="E14" s="673"/>
      <c r="F14" s="673"/>
      <c r="G14" s="673"/>
      <c r="H14" s="673"/>
      <c r="I14" s="673"/>
      <c r="J14" s="673"/>
      <c r="K14" s="673"/>
      <c r="L14" s="673"/>
      <c r="M14" s="673"/>
    </row>
    <row r="15" spans="1:13" ht="21" customHeight="1">
      <c r="B15" s="494" t="s">
        <v>2863</v>
      </c>
      <c r="C15" s="494"/>
      <c r="D15" s="494"/>
      <c r="E15" s="494"/>
      <c r="F15" s="494"/>
      <c r="G15" s="494"/>
      <c r="H15" s="494"/>
      <c r="I15" s="494"/>
      <c r="J15" s="494"/>
      <c r="K15" s="494"/>
      <c r="L15" s="495"/>
    </row>
    <row r="16" spans="1:13" s="93" customFormat="1" ht="16.5" customHeight="1"/>
    <row r="17" spans="1:48" s="93" customFormat="1" ht="16.5" customHeight="1">
      <c r="A17" s="94" t="s">
        <v>1232</v>
      </c>
      <c r="B17" s="93" t="s">
        <v>1773</v>
      </c>
    </row>
    <row r="18" spans="1:48" s="93" customFormat="1" ht="16.5" customHeight="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t="s">
        <v>4620</v>
      </c>
      <c r="C19" s="93" t="s">
        <v>4624</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t="s">
        <v>4411</v>
      </c>
      <c r="C20" s="93" t="s">
        <v>4625</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3">
        <v>1</v>
      </c>
      <c r="C21" s="93" t="s">
        <v>4626</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v>2</v>
      </c>
      <c r="C22" s="93" t="s">
        <v>4627</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93">
        <v>3</v>
      </c>
      <c r="C23" s="93" t="s">
        <v>4628</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3">
        <v>4</v>
      </c>
      <c r="C24" s="93" t="s">
        <v>4629</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A26" s="9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3" t="s">
        <v>4703</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4" t="s">
        <v>4631</v>
      </c>
      <c r="C28" s="94" t="s">
        <v>4632</v>
      </c>
      <c r="D28" s="94" t="s">
        <v>4415</v>
      </c>
      <c r="E28" s="94" t="s">
        <v>4635</v>
      </c>
      <c r="F28" s="94" t="s">
        <v>3792</v>
      </c>
      <c r="G28" s="94" t="s">
        <v>4704</v>
      </c>
      <c r="H28" s="104" t="s">
        <v>1238</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48">
        <v>40544</v>
      </c>
      <c r="C29" s="148">
        <v>42005</v>
      </c>
      <c r="D29" s="160">
        <v>0.06</v>
      </c>
      <c r="E29" s="160">
        <v>0.08</v>
      </c>
      <c r="F29" s="93">
        <v>2</v>
      </c>
      <c r="G29" s="93">
        <f>DURATION(B29,C29,D29,E29,F29,1)</f>
        <v>3.5987557495204614</v>
      </c>
      <c r="H29" s="108" t="s">
        <v>4705</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H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H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H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H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H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A36" s="94"/>
      <c r="H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H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H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H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H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H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F42" s="4"/>
      <c r="G42" s="4"/>
      <c r="H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F43" s="4"/>
      <c r="G43" s="4"/>
      <c r="H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F44" s="4"/>
      <c r="G44" s="4"/>
      <c r="H44" s="4"/>
      <c r="I44" s="4"/>
      <c r="J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F45" s="4"/>
      <c r="G45" s="4"/>
      <c r="H45" s="4"/>
      <c r="I45" s="4"/>
      <c r="J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F46" s="4"/>
      <c r="G46" s="4"/>
      <c r="H46" s="4"/>
      <c r="I46" s="4"/>
      <c r="J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F47" s="4"/>
      <c r="G47" s="4"/>
      <c r="H47" s="4"/>
      <c r="I47" s="4"/>
      <c r="J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F48" s="4"/>
      <c r="G48" s="4"/>
      <c r="H48" s="4"/>
      <c r="I48" s="4"/>
      <c r="J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F49" s="4"/>
      <c r="G49" s="4"/>
      <c r="H49" s="4"/>
      <c r="I49" s="4"/>
      <c r="J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s="93" customFormat="1" ht="16.5" customHeight="1">
      <c r="F50" s="4"/>
      <c r="G50" s="4"/>
      <c r="H50" s="4"/>
      <c r="I50" s="4"/>
      <c r="J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48">
      <c r="A51" s="93"/>
      <c r="B51" s="93"/>
      <c r="C51" s="93"/>
      <c r="D51" s="93"/>
      <c r="E51" s="93"/>
      <c r="K51" s="93"/>
      <c r="L51" s="93"/>
      <c r="M51" s="93"/>
    </row>
    <row r="100" spans="1:13" s="88" customFormat="1" ht="26.25" customHeight="1">
      <c r="A100" s="498" t="s">
        <v>1018</v>
      </c>
      <c r="B100" s="498"/>
      <c r="C100" s="499"/>
      <c r="D100" s="87"/>
      <c r="E100" s="500" t="str">
        <f>HYPERLINK("#目录!A380","跳转回到目录页")</f>
        <v>跳转回到目录页</v>
      </c>
      <c r="F100" s="501"/>
    </row>
    <row r="101" spans="1:13" s="88" customFormat="1" ht="26.25" customHeight="1">
      <c r="A101" s="502" t="s">
        <v>1216</v>
      </c>
      <c r="B101" s="502"/>
      <c r="C101" s="503" t="s">
        <v>585</v>
      </c>
      <c r="D101" s="503"/>
      <c r="E101" s="503"/>
      <c r="F101" s="503"/>
      <c r="G101" s="503"/>
      <c r="H101" s="503"/>
      <c r="I101" s="503"/>
      <c r="J101" s="503"/>
      <c r="K101" s="503"/>
      <c r="L101" s="503"/>
      <c r="M101" s="503"/>
    </row>
    <row r="102" spans="1:13" s="88" customFormat="1" ht="16.5" customHeight="1">
      <c r="A102" s="496" t="s">
        <v>1217</v>
      </c>
      <c r="B102" s="496"/>
      <c r="C102" s="493" t="s">
        <v>4706</v>
      </c>
      <c r="D102" s="493"/>
      <c r="E102" s="493"/>
      <c r="F102" s="493"/>
      <c r="G102" s="493"/>
      <c r="H102" s="493"/>
      <c r="I102" s="493"/>
      <c r="J102" s="493"/>
      <c r="K102" s="493"/>
      <c r="L102" s="493"/>
      <c r="M102" s="493"/>
    </row>
    <row r="103" spans="1:13" s="88" customFormat="1" ht="16.5" customHeight="1">
      <c r="A103" s="496" t="s">
        <v>5786</v>
      </c>
      <c r="B103" s="496"/>
      <c r="C103" s="497" t="s">
        <v>585</v>
      </c>
      <c r="D103" s="497"/>
      <c r="E103" s="497"/>
      <c r="F103" s="497"/>
      <c r="G103" s="497"/>
      <c r="H103" s="497"/>
      <c r="I103" s="497"/>
      <c r="J103" s="497"/>
      <c r="K103" s="497"/>
      <c r="L103" s="497"/>
      <c r="M103" s="497"/>
    </row>
    <row r="104" spans="1:13" s="88" customFormat="1" ht="16.5" customHeight="1">
      <c r="A104" s="496" t="s">
        <v>1220</v>
      </c>
      <c r="B104" s="496"/>
      <c r="C104" s="493" t="s">
        <v>4707</v>
      </c>
      <c r="D104" s="493"/>
      <c r="E104" s="493"/>
      <c r="F104" s="493"/>
      <c r="G104" s="493"/>
      <c r="H104" s="493"/>
      <c r="I104" s="493"/>
      <c r="J104" s="493"/>
      <c r="K104" s="493"/>
      <c r="L104" s="493"/>
      <c r="M104" s="493"/>
    </row>
    <row r="105" spans="1:13" s="88" customFormat="1" ht="16.5" customHeight="1">
      <c r="A105" s="496" t="s">
        <v>5785</v>
      </c>
      <c r="B105" s="496"/>
      <c r="C105" s="493" t="s">
        <v>4708</v>
      </c>
      <c r="D105" s="493"/>
      <c r="E105" s="493"/>
      <c r="F105" s="493"/>
      <c r="G105" s="493"/>
      <c r="H105" s="493"/>
      <c r="I105" s="493"/>
      <c r="J105" s="493"/>
      <c r="K105" s="493"/>
      <c r="L105" s="493"/>
      <c r="M105" s="493"/>
    </row>
    <row r="106" spans="1:13" s="88" customFormat="1" ht="16.5" customHeight="1">
      <c r="A106" s="89" t="s">
        <v>1223</v>
      </c>
      <c r="B106" s="92" t="s">
        <v>4609</v>
      </c>
      <c r="C106" s="493" t="s">
        <v>4610</v>
      </c>
      <c r="D106" s="493"/>
      <c r="E106" s="493"/>
      <c r="F106" s="493"/>
      <c r="G106" s="493"/>
      <c r="H106" s="493"/>
      <c r="I106" s="493"/>
      <c r="J106" s="493"/>
      <c r="K106" s="493"/>
      <c r="L106" s="493"/>
      <c r="M106" s="493"/>
    </row>
    <row r="107" spans="1:13" s="88" customFormat="1" ht="16.5" customHeight="1">
      <c r="A107" s="89"/>
      <c r="B107" s="92" t="s">
        <v>4611</v>
      </c>
      <c r="C107" s="493" t="s">
        <v>4612</v>
      </c>
      <c r="D107" s="493"/>
      <c r="E107" s="493"/>
      <c r="F107" s="493"/>
      <c r="G107" s="493"/>
      <c r="H107" s="493"/>
      <c r="I107" s="493"/>
      <c r="J107" s="493"/>
      <c r="K107" s="493"/>
      <c r="L107" s="493"/>
      <c r="M107" s="493"/>
    </row>
    <row r="108" spans="1:13" s="88" customFormat="1" ht="16.5" customHeight="1">
      <c r="A108" s="89"/>
      <c r="B108" s="90" t="s">
        <v>4701</v>
      </c>
      <c r="C108" s="493" t="s">
        <v>4613</v>
      </c>
      <c r="D108" s="493"/>
      <c r="E108" s="493"/>
      <c r="F108" s="493"/>
      <c r="G108" s="493"/>
      <c r="H108" s="493"/>
      <c r="I108" s="493"/>
      <c r="J108" s="493"/>
      <c r="K108" s="493"/>
      <c r="L108" s="493"/>
      <c r="M108" s="493"/>
    </row>
    <row r="109" spans="1:13" s="88" customFormat="1" ht="16.5" customHeight="1">
      <c r="A109" s="89"/>
      <c r="B109" s="92" t="s">
        <v>4640</v>
      </c>
      <c r="C109" s="493" t="s">
        <v>4641</v>
      </c>
      <c r="D109" s="493"/>
      <c r="E109" s="493"/>
      <c r="F109" s="493"/>
      <c r="G109" s="493"/>
      <c r="H109" s="493"/>
      <c r="I109" s="493"/>
      <c r="J109" s="493"/>
      <c r="K109" s="493"/>
      <c r="L109" s="493"/>
      <c r="M109" s="493"/>
    </row>
    <row r="110" spans="1:13" s="88" customFormat="1" ht="16.5" customHeight="1">
      <c r="A110" s="89"/>
      <c r="B110" s="90" t="s">
        <v>4618</v>
      </c>
      <c r="C110" s="493" t="s">
        <v>4619</v>
      </c>
      <c r="D110" s="493"/>
      <c r="E110" s="493"/>
      <c r="F110" s="493"/>
      <c r="G110" s="493"/>
      <c r="H110" s="493"/>
      <c r="I110" s="493"/>
      <c r="J110" s="493"/>
      <c r="K110" s="493"/>
      <c r="L110" s="493"/>
      <c r="M110" s="493"/>
    </row>
    <row r="111" spans="1:13" s="88" customFormat="1" ht="16.5" customHeight="1">
      <c r="A111" s="89"/>
      <c r="B111" s="90" t="s">
        <v>4620</v>
      </c>
      <c r="C111" s="493" t="s">
        <v>4621</v>
      </c>
      <c r="D111" s="493"/>
      <c r="E111" s="493"/>
      <c r="F111" s="493"/>
      <c r="G111" s="493"/>
      <c r="H111" s="493"/>
      <c r="I111" s="493"/>
      <c r="J111" s="493"/>
      <c r="K111" s="493"/>
      <c r="L111" s="493"/>
      <c r="M111" s="493"/>
    </row>
    <row r="112" spans="1:13" s="88" customFormat="1" ht="24.75" customHeight="1">
      <c r="A112" s="89" t="s">
        <v>1228</v>
      </c>
      <c r="B112" s="493" t="s">
        <v>4622</v>
      </c>
      <c r="C112" s="493"/>
      <c r="D112" s="493"/>
      <c r="E112" s="493"/>
      <c r="F112" s="493"/>
      <c r="G112" s="493"/>
      <c r="H112" s="493"/>
      <c r="I112" s="493"/>
      <c r="J112" s="493"/>
      <c r="K112" s="493"/>
      <c r="L112" s="493"/>
      <c r="M112" s="493"/>
    </row>
    <row r="113" spans="1:13" ht="132.75" customHeight="1">
      <c r="A113" s="89" t="s">
        <v>1229</v>
      </c>
      <c r="B113" s="673" t="s">
        <v>4709</v>
      </c>
      <c r="C113" s="673"/>
      <c r="D113" s="673"/>
      <c r="E113" s="673"/>
      <c r="F113" s="673"/>
      <c r="G113" s="673"/>
      <c r="H113" s="673"/>
      <c r="I113" s="673"/>
      <c r="J113" s="673"/>
      <c r="K113" s="673"/>
      <c r="L113" s="673"/>
      <c r="M113" s="673"/>
    </row>
    <row r="114" spans="1:13" ht="21" customHeight="1">
      <c r="B114" s="494" t="s">
        <v>2863</v>
      </c>
      <c r="C114" s="494"/>
      <c r="D114" s="494"/>
      <c r="E114" s="494"/>
      <c r="F114" s="494"/>
      <c r="G114" s="494"/>
      <c r="H114" s="494"/>
      <c r="I114" s="494"/>
      <c r="J114" s="494"/>
      <c r="K114" s="494"/>
      <c r="L114" s="495"/>
    </row>
    <row r="115" spans="1:13" s="93" customFormat="1" ht="16.5" customHeight="1"/>
    <row r="116" spans="1:13" s="93" customFormat="1" ht="16.5" customHeight="1">
      <c r="A116" s="94" t="s">
        <v>1232</v>
      </c>
      <c r="B116" s="93" t="s">
        <v>1773</v>
      </c>
      <c r="H116" s="4"/>
      <c r="I116" s="4"/>
    </row>
    <row r="117" spans="1:13" ht="16.5" customHeight="1">
      <c r="F117" s="93"/>
      <c r="G117" s="93"/>
    </row>
    <row r="118" spans="1:13" ht="16.5" customHeight="1">
      <c r="B118" s="93" t="s">
        <v>4620</v>
      </c>
      <c r="C118" s="93" t="s">
        <v>4624</v>
      </c>
      <c r="F118" s="93"/>
      <c r="G118" s="93"/>
    </row>
    <row r="119" spans="1:13" ht="16.5" customHeight="1">
      <c r="B119" s="93" t="s">
        <v>4411</v>
      </c>
      <c r="C119" s="93" t="s">
        <v>4625</v>
      </c>
      <c r="F119" s="93"/>
      <c r="G119" s="93"/>
    </row>
    <row r="120" spans="1:13" ht="16.5" customHeight="1">
      <c r="B120" s="93">
        <v>1</v>
      </c>
      <c r="C120" s="93" t="s">
        <v>4626</v>
      </c>
      <c r="F120" s="93"/>
      <c r="G120" s="93"/>
    </row>
    <row r="121" spans="1:13" ht="16.5" customHeight="1">
      <c r="B121" s="93">
        <v>2</v>
      </c>
      <c r="C121" s="93" t="s">
        <v>4627</v>
      </c>
      <c r="F121" s="93"/>
      <c r="G121" s="93"/>
    </row>
    <row r="122" spans="1:13" ht="16.5" customHeight="1">
      <c r="B122" s="93">
        <v>3</v>
      </c>
      <c r="C122" s="93" t="s">
        <v>4628</v>
      </c>
      <c r="F122" s="93"/>
      <c r="G122" s="93"/>
    </row>
    <row r="123" spans="1:13" ht="16.5" customHeight="1">
      <c r="B123" s="93">
        <v>4</v>
      </c>
      <c r="C123" s="93" t="s">
        <v>4629</v>
      </c>
      <c r="F123" s="93"/>
      <c r="G123" s="93"/>
    </row>
    <row r="124" spans="1:13" ht="16.5" customHeight="1"/>
    <row r="125" spans="1:13" ht="16.5" customHeight="1">
      <c r="B125" s="93"/>
      <c r="C125" s="93"/>
      <c r="D125" s="93"/>
      <c r="E125" s="93"/>
      <c r="F125" s="93"/>
      <c r="G125" s="93"/>
      <c r="H125" s="93"/>
      <c r="I125" s="93"/>
      <c r="J125" s="93"/>
    </row>
    <row r="126" spans="1:13" ht="16.5" customHeight="1">
      <c r="B126" s="518" t="s">
        <v>4710</v>
      </c>
      <c r="C126" s="518"/>
      <c r="D126" s="518"/>
      <c r="E126" s="518"/>
      <c r="F126" s="518"/>
      <c r="G126" s="518"/>
      <c r="H126" s="93"/>
      <c r="I126" s="93"/>
      <c r="J126" s="93"/>
    </row>
    <row r="127" spans="1:13" ht="16.5" customHeight="1">
      <c r="B127" s="94" t="s">
        <v>4631</v>
      </c>
      <c r="C127" s="94" t="s">
        <v>4632</v>
      </c>
      <c r="D127" s="94" t="s">
        <v>4415</v>
      </c>
      <c r="E127" s="94" t="s">
        <v>4635</v>
      </c>
      <c r="F127" s="94" t="s">
        <v>3792</v>
      </c>
      <c r="G127" s="93" t="s">
        <v>4711</v>
      </c>
      <c r="H127" s="93"/>
      <c r="I127" s="93"/>
      <c r="J127" s="93"/>
    </row>
    <row r="128" spans="1:13" ht="16.5" customHeight="1">
      <c r="B128" s="148">
        <v>40544</v>
      </c>
      <c r="C128" s="148">
        <v>42005</v>
      </c>
      <c r="D128" s="160">
        <v>0.06</v>
      </c>
      <c r="E128" s="160">
        <v>0.08</v>
      </c>
      <c r="F128" s="93">
        <v>2</v>
      </c>
      <c r="G128" s="93">
        <f>MDURATION(B128,C128,D128,E128,F128,1)</f>
        <v>3.4603420668465974</v>
      </c>
      <c r="H128" s="108" t="s">
        <v>4712</v>
      </c>
      <c r="I128" s="93"/>
      <c r="J128" s="93"/>
    </row>
    <row r="129" spans="2:10" ht="16.5" customHeight="1">
      <c r="B129" s="93"/>
      <c r="C129" s="93"/>
      <c r="D129" s="93"/>
      <c r="E129" s="93"/>
      <c r="F129" s="93"/>
      <c r="G129" s="93"/>
      <c r="H129" s="104" t="s">
        <v>1238</v>
      </c>
      <c r="I129" s="93"/>
      <c r="J129" s="93"/>
    </row>
    <row r="130" spans="2:10" ht="16.5" customHeight="1">
      <c r="B130" s="93"/>
      <c r="C130" s="93"/>
      <c r="D130" s="93"/>
      <c r="E130" s="93"/>
      <c r="F130" s="93"/>
      <c r="G130" s="93"/>
      <c r="I130" s="93"/>
      <c r="J130" s="93"/>
    </row>
    <row r="131" spans="2:10" ht="16.5" customHeight="1">
      <c r="B131" s="93"/>
      <c r="C131" s="93"/>
      <c r="D131" s="93"/>
      <c r="E131" s="93"/>
      <c r="F131" s="93"/>
      <c r="G131" s="93"/>
      <c r="H131" s="93"/>
      <c r="I131" s="93"/>
      <c r="J131" s="93"/>
    </row>
    <row r="132" spans="2:10">
      <c r="B132" s="93"/>
      <c r="C132" s="93"/>
      <c r="D132" s="93"/>
      <c r="E132" s="93"/>
      <c r="F132" s="93"/>
      <c r="G132" s="93"/>
      <c r="H132" s="93"/>
      <c r="I132" s="93"/>
      <c r="J132" s="93"/>
    </row>
    <row r="133" spans="2:10">
      <c r="B133" s="93"/>
      <c r="C133" s="93"/>
      <c r="D133" s="93"/>
      <c r="E133" s="93"/>
      <c r="F133" s="93"/>
      <c r="G133" s="93"/>
      <c r="H133" s="93"/>
      <c r="I133" s="93"/>
      <c r="J133" s="93"/>
    </row>
    <row r="134" spans="2:10">
      <c r="B134" s="93"/>
      <c r="C134" s="93"/>
      <c r="D134" s="93"/>
      <c r="E134" s="93"/>
      <c r="F134" s="93"/>
      <c r="G134" s="93"/>
      <c r="H134" s="93"/>
      <c r="I134" s="93"/>
      <c r="J134" s="93"/>
    </row>
    <row r="135" spans="2:10">
      <c r="B135" s="93"/>
      <c r="C135" s="93"/>
      <c r="D135" s="93"/>
      <c r="E135" s="93"/>
      <c r="F135" s="93"/>
      <c r="G135" s="93"/>
      <c r="H135" s="93"/>
      <c r="I135" s="93"/>
      <c r="J135" s="93"/>
    </row>
    <row r="136" spans="2:10">
      <c r="B136" s="93"/>
      <c r="C136" s="93"/>
      <c r="D136" s="93"/>
      <c r="E136" s="93"/>
      <c r="F136" s="93"/>
      <c r="G136" s="93"/>
      <c r="H136" s="93"/>
      <c r="I136" s="93"/>
      <c r="J136" s="93"/>
    </row>
  </sheetData>
  <mergeCells count="43">
    <mergeCell ref="A1:C1"/>
    <mergeCell ref="E1:F1"/>
    <mergeCell ref="A2:B2"/>
    <mergeCell ref="C2:M2"/>
    <mergeCell ref="A3:B3"/>
    <mergeCell ref="C3:M3"/>
    <mergeCell ref="A4:B4"/>
    <mergeCell ref="C4:M4"/>
    <mergeCell ref="A5:B5"/>
    <mergeCell ref="C5:M5"/>
    <mergeCell ref="A6:B6"/>
    <mergeCell ref="C6:M6"/>
    <mergeCell ref="A101:B101"/>
    <mergeCell ref="C101:M101"/>
    <mergeCell ref="C7:M7"/>
    <mergeCell ref="C8:M8"/>
    <mergeCell ref="C9:M9"/>
    <mergeCell ref="C10:M10"/>
    <mergeCell ref="C11:M11"/>
    <mergeCell ref="C12:M12"/>
    <mergeCell ref="B13:M13"/>
    <mergeCell ref="B14:M14"/>
    <mergeCell ref="B15:L15"/>
    <mergeCell ref="A100:C100"/>
    <mergeCell ref="E100:F100"/>
    <mergeCell ref="A102:B102"/>
    <mergeCell ref="C102:M102"/>
    <mergeCell ref="A103:B103"/>
    <mergeCell ref="C103:M103"/>
    <mergeCell ref="A104:B104"/>
    <mergeCell ref="C104:M104"/>
    <mergeCell ref="B126:G126"/>
    <mergeCell ref="A105:B105"/>
    <mergeCell ref="C105:M105"/>
    <mergeCell ref="C106:M106"/>
    <mergeCell ref="C107:M107"/>
    <mergeCell ref="C108:M108"/>
    <mergeCell ref="C109:M109"/>
    <mergeCell ref="C110:M110"/>
    <mergeCell ref="C111:M111"/>
    <mergeCell ref="B112:M112"/>
    <mergeCell ref="B113:M113"/>
    <mergeCell ref="B114:L114"/>
  </mergeCells>
  <phoneticPr fontId="2" type="noConversion"/>
  <pageMargins left="0.75" right="0.75" top="1" bottom="1" header="0.5" footer="0.5"/>
  <pageSetup paperSize="9" orientation="portrait" horizontalDpi="0" verticalDpi="0"/>
  <headerFooter scaleWithDoc="0"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5"/>
  <dimension ref="A1:AV336"/>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1060</v>
      </c>
      <c r="B1" s="498"/>
      <c r="C1" s="499"/>
      <c r="D1" s="87"/>
      <c r="E1" s="500" t="str">
        <f>HYPERLINK("#目录!A380","跳转回到目录页")</f>
        <v>跳转回到目录页</v>
      </c>
      <c r="F1" s="501"/>
    </row>
    <row r="2" spans="1:13" s="88" customFormat="1" ht="26.25" customHeight="1">
      <c r="A2" s="502" t="s">
        <v>1216</v>
      </c>
      <c r="B2" s="502"/>
      <c r="C2" s="503" t="s">
        <v>586</v>
      </c>
      <c r="D2" s="503"/>
      <c r="E2" s="503"/>
      <c r="F2" s="503"/>
      <c r="G2" s="503"/>
      <c r="H2" s="503"/>
      <c r="I2" s="503"/>
      <c r="J2" s="503"/>
      <c r="K2" s="503"/>
      <c r="L2" s="503"/>
      <c r="M2" s="503"/>
    </row>
    <row r="3" spans="1:13" s="88" customFormat="1" ht="16.5" customHeight="1">
      <c r="A3" s="496" t="s">
        <v>1217</v>
      </c>
      <c r="B3" s="496"/>
      <c r="C3" s="493" t="s">
        <v>4713</v>
      </c>
      <c r="D3" s="493"/>
      <c r="E3" s="493"/>
      <c r="F3" s="493"/>
      <c r="G3" s="493"/>
      <c r="H3" s="493"/>
      <c r="I3" s="493"/>
      <c r="J3" s="493"/>
      <c r="K3" s="493"/>
      <c r="L3" s="493"/>
      <c r="M3" s="493"/>
    </row>
    <row r="4" spans="1:13" s="88" customFormat="1" ht="16.5" customHeight="1">
      <c r="A4" s="496" t="s">
        <v>5786</v>
      </c>
      <c r="B4" s="496"/>
      <c r="C4" s="497" t="s">
        <v>586</v>
      </c>
      <c r="D4" s="497"/>
      <c r="E4" s="497"/>
      <c r="F4" s="497"/>
      <c r="G4" s="497"/>
      <c r="H4" s="497"/>
      <c r="I4" s="497"/>
      <c r="J4" s="497"/>
      <c r="K4" s="497"/>
      <c r="L4" s="497"/>
      <c r="M4" s="497"/>
    </row>
    <row r="5" spans="1:13" s="88" customFormat="1" ht="16.5" customHeight="1">
      <c r="A5" s="496" t="s">
        <v>1220</v>
      </c>
      <c r="B5" s="496"/>
      <c r="C5" s="493" t="s">
        <v>4714</v>
      </c>
      <c r="D5" s="493"/>
      <c r="E5" s="493"/>
      <c r="F5" s="493"/>
      <c r="G5" s="493"/>
      <c r="H5" s="493"/>
      <c r="I5" s="493"/>
      <c r="J5" s="493"/>
      <c r="K5" s="493"/>
      <c r="L5" s="493"/>
      <c r="M5" s="493"/>
    </row>
    <row r="6" spans="1:13" s="88" customFormat="1" ht="16.5" customHeight="1">
      <c r="A6" s="496" t="s">
        <v>5785</v>
      </c>
      <c r="B6" s="496"/>
      <c r="C6" s="493" t="s">
        <v>4715</v>
      </c>
      <c r="D6" s="493"/>
      <c r="E6" s="493"/>
      <c r="F6" s="493"/>
      <c r="G6" s="493"/>
      <c r="H6" s="493"/>
      <c r="I6" s="493"/>
      <c r="J6" s="493"/>
      <c r="K6" s="493"/>
      <c r="L6" s="493"/>
      <c r="M6" s="493"/>
    </row>
    <row r="7" spans="1:13" s="88" customFormat="1" ht="16.5" customHeight="1">
      <c r="A7" s="89" t="s">
        <v>1223</v>
      </c>
      <c r="B7" s="92" t="s">
        <v>4609</v>
      </c>
      <c r="C7" s="493" t="s">
        <v>4610</v>
      </c>
      <c r="D7" s="493"/>
      <c r="E7" s="493"/>
      <c r="F7" s="493"/>
      <c r="G7" s="493"/>
      <c r="H7" s="493"/>
      <c r="I7" s="493"/>
      <c r="J7" s="493"/>
      <c r="K7" s="493"/>
      <c r="L7" s="493"/>
      <c r="M7" s="493"/>
    </row>
    <row r="8" spans="1:13" s="88" customFormat="1" ht="16.5" customHeight="1">
      <c r="A8" s="89"/>
      <c r="B8" s="92" t="s">
        <v>4611</v>
      </c>
      <c r="C8" s="493" t="s">
        <v>4612</v>
      </c>
      <c r="D8" s="493"/>
      <c r="E8" s="493"/>
      <c r="F8" s="493"/>
      <c r="G8" s="493"/>
      <c r="H8" s="493"/>
      <c r="I8" s="493"/>
      <c r="J8" s="493"/>
      <c r="K8" s="493"/>
      <c r="L8" s="493"/>
      <c r="M8" s="493"/>
    </row>
    <row r="9" spans="1:13" s="88" customFormat="1" ht="16.5" customHeight="1">
      <c r="A9" s="89"/>
      <c r="B9" s="90" t="s">
        <v>4647</v>
      </c>
      <c r="C9" s="493" t="s">
        <v>4648</v>
      </c>
      <c r="D9" s="493"/>
      <c r="E9" s="493"/>
      <c r="F9" s="493"/>
      <c r="G9" s="493"/>
      <c r="H9" s="493"/>
      <c r="I9" s="493"/>
      <c r="J9" s="493"/>
      <c r="K9" s="493"/>
      <c r="L9" s="493"/>
      <c r="M9" s="493"/>
    </row>
    <row r="10" spans="1:13" s="88" customFormat="1" ht="24.75" customHeight="1">
      <c r="A10" s="89"/>
      <c r="B10" s="92" t="s">
        <v>4716</v>
      </c>
      <c r="C10" s="493" t="s">
        <v>4717</v>
      </c>
      <c r="D10" s="493"/>
      <c r="E10" s="493"/>
      <c r="F10" s="493"/>
      <c r="G10" s="493"/>
      <c r="H10" s="493"/>
      <c r="I10" s="493"/>
      <c r="J10" s="493"/>
      <c r="K10" s="493"/>
      <c r="L10" s="493"/>
      <c r="M10" s="493"/>
    </row>
    <row r="11" spans="1:13" s="88" customFormat="1" ht="16.5" customHeight="1">
      <c r="A11" s="89"/>
      <c r="B11" s="92" t="s">
        <v>4399</v>
      </c>
      <c r="C11" s="493" t="s">
        <v>4718</v>
      </c>
      <c r="D11" s="493"/>
      <c r="E11" s="493"/>
      <c r="F11" s="493"/>
      <c r="G11" s="493"/>
      <c r="H11" s="493"/>
      <c r="I11" s="493"/>
      <c r="J11" s="493"/>
      <c r="K11" s="493"/>
      <c r="L11" s="493"/>
      <c r="M11" s="493"/>
    </row>
    <row r="12" spans="1:13" s="88" customFormat="1" ht="16.5" customHeight="1">
      <c r="A12" s="89"/>
      <c r="B12" s="90" t="s">
        <v>4614</v>
      </c>
      <c r="C12" s="493" t="s">
        <v>4719</v>
      </c>
      <c r="D12" s="493"/>
      <c r="E12" s="493"/>
      <c r="F12" s="493"/>
      <c r="G12" s="493"/>
      <c r="H12" s="493"/>
      <c r="I12" s="493"/>
      <c r="J12" s="493"/>
      <c r="K12" s="493"/>
      <c r="L12" s="493"/>
      <c r="M12" s="493"/>
    </row>
    <row r="13" spans="1:13" s="88" customFormat="1" ht="16.5" customHeight="1">
      <c r="A13" s="89"/>
      <c r="B13" s="92" t="s">
        <v>4616</v>
      </c>
      <c r="C13" s="493" t="s">
        <v>4617</v>
      </c>
      <c r="D13" s="493"/>
      <c r="E13" s="493"/>
      <c r="F13" s="493"/>
      <c r="G13" s="493"/>
      <c r="H13" s="493"/>
      <c r="I13" s="493"/>
      <c r="J13" s="493"/>
      <c r="K13" s="493"/>
      <c r="L13" s="493"/>
      <c r="M13" s="493"/>
    </row>
    <row r="14" spans="1:13" s="88" customFormat="1" ht="16.5" customHeight="1">
      <c r="A14" s="89"/>
      <c r="B14" s="92" t="s">
        <v>4618</v>
      </c>
      <c r="C14" s="493" t="s">
        <v>4619</v>
      </c>
      <c r="D14" s="493"/>
      <c r="E14" s="493"/>
      <c r="F14" s="493"/>
      <c r="G14" s="493"/>
      <c r="H14" s="493"/>
      <c r="I14" s="493"/>
      <c r="J14" s="493"/>
      <c r="K14" s="493"/>
      <c r="L14" s="493"/>
      <c r="M14" s="493"/>
    </row>
    <row r="15" spans="1:13" s="88" customFormat="1" ht="16.5" customHeight="1">
      <c r="A15" s="89"/>
      <c r="B15" s="90" t="s">
        <v>4620</v>
      </c>
      <c r="C15" s="493" t="s">
        <v>4621</v>
      </c>
      <c r="D15" s="493"/>
      <c r="E15" s="493"/>
      <c r="F15" s="493"/>
      <c r="G15" s="493"/>
      <c r="H15" s="493"/>
      <c r="I15" s="493"/>
      <c r="J15" s="493"/>
      <c r="K15" s="493"/>
      <c r="L15" s="493"/>
      <c r="M15" s="493"/>
    </row>
    <row r="16" spans="1:13" s="88" customFormat="1" ht="24.75" customHeight="1">
      <c r="A16" s="89" t="s">
        <v>1228</v>
      </c>
      <c r="B16" s="493" t="s">
        <v>4622</v>
      </c>
      <c r="C16" s="493"/>
      <c r="D16" s="493"/>
      <c r="E16" s="493"/>
      <c r="F16" s="493"/>
      <c r="G16" s="493"/>
      <c r="H16" s="493"/>
      <c r="I16" s="493"/>
      <c r="J16" s="493"/>
      <c r="K16" s="493"/>
      <c r="L16" s="493"/>
      <c r="M16" s="493"/>
    </row>
    <row r="17" spans="1:48" ht="145.5" customHeight="1">
      <c r="A17" s="89" t="s">
        <v>1229</v>
      </c>
      <c r="B17" s="673" t="s">
        <v>4720</v>
      </c>
      <c r="C17" s="673"/>
      <c r="D17" s="673"/>
      <c r="E17" s="673"/>
      <c r="F17" s="673"/>
      <c r="G17" s="673"/>
      <c r="H17" s="673"/>
      <c r="I17" s="673"/>
      <c r="J17" s="673"/>
      <c r="K17" s="673"/>
      <c r="L17" s="673"/>
      <c r="M17" s="673"/>
    </row>
    <row r="18" spans="1:48" ht="21" customHeight="1">
      <c r="B18" s="494" t="s">
        <v>2863</v>
      </c>
      <c r="C18" s="494"/>
      <c r="D18" s="494"/>
      <c r="E18" s="494"/>
      <c r="F18" s="494"/>
      <c r="G18" s="494"/>
      <c r="H18" s="494"/>
      <c r="I18" s="494"/>
      <c r="J18" s="494"/>
      <c r="K18" s="494"/>
      <c r="L18" s="495"/>
    </row>
    <row r="19" spans="1:48" s="93" customFormat="1" ht="16.5" customHeight="1"/>
    <row r="20" spans="1:48" s="93" customFormat="1" ht="16.5" customHeight="1">
      <c r="A20" s="94" t="s">
        <v>1232</v>
      </c>
      <c r="B20" s="93" t="s">
        <v>1773</v>
      </c>
      <c r="E20" s="93" t="s">
        <v>3592</v>
      </c>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t="s">
        <v>4620</v>
      </c>
      <c r="C22" s="93" t="s">
        <v>4624</v>
      </c>
      <c r="E22" s="93" t="s">
        <v>3592</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93" t="s">
        <v>4411</v>
      </c>
      <c r="C23" s="93" t="s">
        <v>4625</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3">
        <v>1</v>
      </c>
      <c r="C24" s="93" t="s">
        <v>4626</v>
      </c>
      <c r="E24" s="93" t="s">
        <v>3592</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B25" s="93">
        <v>2</v>
      </c>
      <c r="C25" s="93" t="s">
        <v>4627</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93">
        <v>3</v>
      </c>
      <c r="C26" s="93" t="s">
        <v>4628</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3">
        <v>4</v>
      </c>
      <c r="C27" s="93" t="s">
        <v>4629</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A29" s="9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B30" s="518" t="s">
        <v>586</v>
      </c>
      <c r="C30" s="518"/>
      <c r="D30" s="518"/>
      <c r="E30" s="518"/>
      <c r="F30" s="518"/>
      <c r="G30" s="518"/>
      <c r="H30" s="518"/>
      <c r="I30" s="518"/>
      <c r="J30" s="518"/>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B31" s="94" t="s">
        <v>4631</v>
      </c>
      <c r="C31" s="94" t="s">
        <v>4632</v>
      </c>
      <c r="D31" s="94" t="s">
        <v>4654</v>
      </c>
      <c r="E31" s="94" t="s">
        <v>4721</v>
      </c>
      <c r="F31" s="94" t="s">
        <v>4415</v>
      </c>
      <c r="G31" s="94" t="s">
        <v>4633</v>
      </c>
      <c r="H31" s="94" t="s">
        <v>4634</v>
      </c>
      <c r="I31" s="94" t="s">
        <v>3792</v>
      </c>
      <c r="J31" s="94" t="s">
        <v>4635</v>
      </c>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B32" s="148">
        <v>40603</v>
      </c>
      <c r="C32" s="148">
        <v>40909</v>
      </c>
      <c r="D32" s="148">
        <v>40599</v>
      </c>
      <c r="E32" s="148">
        <v>40634</v>
      </c>
      <c r="F32" s="162">
        <v>8.5000000000000006E-3</v>
      </c>
      <c r="G32" s="93">
        <v>96</v>
      </c>
      <c r="H32" s="93">
        <v>100</v>
      </c>
      <c r="I32" s="93">
        <v>4</v>
      </c>
      <c r="J32" s="163">
        <f>ODDFYIELD(B32,C32,D32,E32,F32,G32,H32,I32,1)</f>
        <v>5.7855712241145378E-2</v>
      </c>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I33" s="166" t="s">
        <v>4722</v>
      </c>
      <c r="J33" s="104" t="s">
        <v>1238</v>
      </c>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A39" s="9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G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G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G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s="93" customFormat="1" ht="16.5" customHeight="1">
      <c r="G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48" s="93" customFormat="1" ht="16.5" customHeight="1">
      <c r="G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row>
    <row r="52" spans="1:48" s="93" customFormat="1" ht="16.5" customHeight="1">
      <c r="G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row>
    <row r="53" spans="1:48" s="93" customFormat="1" ht="16.5" customHeight="1">
      <c r="G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row>
    <row r="54" spans="1:48">
      <c r="A54" s="93"/>
      <c r="B54" s="93"/>
      <c r="C54" s="93"/>
      <c r="D54" s="93"/>
      <c r="H54" s="93"/>
      <c r="I54" s="93"/>
      <c r="J54" s="93"/>
      <c r="K54" s="93"/>
      <c r="L54" s="93"/>
      <c r="M54" s="93"/>
    </row>
    <row r="100" spans="1:13" s="88" customFormat="1" ht="26.25" customHeight="1">
      <c r="A100" s="498" t="s">
        <v>587</v>
      </c>
      <c r="B100" s="498"/>
      <c r="C100" s="499"/>
      <c r="D100" s="87"/>
      <c r="E100" s="500" t="str">
        <f>HYPERLINK("#目录!A383","跳转回到目录页")</f>
        <v>跳转回到目录页</v>
      </c>
      <c r="F100" s="501"/>
    </row>
    <row r="101" spans="1:13" s="88" customFormat="1" ht="26.25" customHeight="1">
      <c r="A101" s="502" t="s">
        <v>1216</v>
      </c>
      <c r="B101" s="502"/>
      <c r="C101" s="503" t="s">
        <v>588</v>
      </c>
      <c r="D101" s="503"/>
      <c r="E101" s="503"/>
      <c r="F101" s="503"/>
      <c r="G101" s="503"/>
      <c r="H101" s="503"/>
      <c r="I101" s="503"/>
      <c r="J101" s="503"/>
      <c r="K101" s="503"/>
      <c r="L101" s="503"/>
      <c r="M101" s="503"/>
    </row>
    <row r="102" spans="1:13" s="88" customFormat="1" ht="16.5" customHeight="1">
      <c r="A102" s="496" t="s">
        <v>1217</v>
      </c>
      <c r="B102" s="496"/>
      <c r="C102" s="493" t="s">
        <v>4723</v>
      </c>
      <c r="D102" s="493"/>
      <c r="E102" s="493"/>
      <c r="F102" s="493"/>
      <c r="G102" s="493"/>
      <c r="H102" s="493"/>
      <c r="I102" s="493"/>
      <c r="J102" s="493"/>
      <c r="K102" s="493"/>
      <c r="L102" s="493"/>
      <c r="M102" s="493"/>
    </row>
    <row r="103" spans="1:13" s="88" customFormat="1" ht="16.5" customHeight="1">
      <c r="A103" s="496" t="s">
        <v>5786</v>
      </c>
      <c r="B103" s="496"/>
      <c r="C103" s="497" t="s">
        <v>588</v>
      </c>
      <c r="D103" s="497"/>
      <c r="E103" s="497"/>
      <c r="F103" s="497"/>
      <c r="G103" s="497"/>
      <c r="H103" s="497"/>
      <c r="I103" s="497"/>
      <c r="J103" s="497"/>
      <c r="K103" s="497"/>
      <c r="L103" s="497"/>
      <c r="M103" s="497"/>
    </row>
    <row r="104" spans="1:13" s="88" customFormat="1" ht="16.5" customHeight="1">
      <c r="A104" s="496" t="s">
        <v>1220</v>
      </c>
      <c r="B104" s="496"/>
      <c r="C104" s="493" t="s">
        <v>4724</v>
      </c>
      <c r="D104" s="493"/>
      <c r="E104" s="493"/>
      <c r="F104" s="493"/>
      <c r="G104" s="493"/>
      <c r="H104" s="493"/>
      <c r="I104" s="493"/>
      <c r="J104" s="493"/>
      <c r="K104" s="493"/>
      <c r="L104" s="493"/>
      <c r="M104" s="493"/>
    </row>
    <row r="105" spans="1:13" s="88" customFormat="1" ht="16.5" customHeight="1">
      <c r="A105" s="496" t="s">
        <v>5785</v>
      </c>
      <c r="B105" s="496"/>
      <c r="C105" s="493" t="s">
        <v>4725</v>
      </c>
      <c r="D105" s="493"/>
      <c r="E105" s="493"/>
      <c r="F105" s="493"/>
      <c r="G105" s="493"/>
      <c r="H105" s="493"/>
      <c r="I105" s="493"/>
      <c r="J105" s="493"/>
      <c r="K105" s="493"/>
      <c r="L105" s="493"/>
      <c r="M105" s="493"/>
    </row>
    <row r="106" spans="1:13" s="88" customFormat="1" ht="16.5" customHeight="1">
      <c r="A106" s="89" t="s">
        <v>1223</v>
      </c>
      <c r="B106" s="92" t="s">
        <v>4609</v>
      </c>
      <c r="C106" s="493" t="s">
        <v>4726</v>
      </c>
      <c r="D106" s="493"/>
      <c r="E106" s="493"/>
      <c r="F106" s="493"/>
      <c r="G106" s="493"/>
      <c r="H106" s="493"/>
      <c r="I106" s="493"/>
      <c r="J106" s="493"/>
      <c r="K106" s="493"/>
      <c r="L106" s="493"/>
      <c r="M106" s="493"/>
    </row>
    <row r="107" spans="1:13" s="88" customFormat="1" ht="16.5" customHeight="1">
      <c r="A107" s="89"/>
      <c r="B107" s="92" t="s">
        <v>4611</v>
      </c>
      <c r="C107" s="493" t="s">
        <v>4612</v>
      </c>
      <c r="D107" s="493"/>
      <c r="E107" s="493"/>
      <c r="F107" s="493"/>
      <c r="G107" s="493"/>
      <c r="H107" s="493"/>
      <c r="I107" s="493"/>
      <c r="J107" s="493"/>
      <c r="K107" s="493"/>
      <c r="L107" s="493"/>
      <c r="M107" s="493"/>
    </row>
    <row r="108" spans="1:13" s="88" customFormat="1" ht="16.5" customHeight="1">
      <c r="A108" s="89"/>
      <c r="B108" s="90" t="s">
        <v>4647</v>
      </c>
      <c r="C108" s="493" t="s">
        <v>4648</v>
      </c>
      <c r="D108" s="493"/>
      <c r="E108" s="493"/>
      <c r="F108" s="493"/>
      <c r="G108" s="493"/>
      <c r="H108" s="493"/>
      <c r="I108" s="493"/>
      <c r="J108" s="493"/>
      <c r="K108" s="493"/>
      <c r="L108" s="493"/>
      <c r="M108" s="493"/>
    </row>
    <row r="109" spans="1:13" s="88" customFormat="1" ht="24.75" customHeight="1">
      <c r="A109" s="89"/>
      <c r="B109" s="92" t="s">
        <v>4716</v>
      </c>
      <c r="C109" s="493" t="s">
        <v>4717</v>
      </c>
      <c r="D109" s="493"/>
      <c r="E109" s="493"/>
      <c r="F109" s="493"/>
      <c r="G109" s="493"/>
      <c r="H109" s="493"/>
      <c r="I109" s="493"/>
      <c r="J109" s="493"/>
      <c r="K109" s="493"/>
      <c r="L109" s="493"/>
      <c r="M109" s="493"/>
    </row>
    <row r="110" spans="1:13" s="88" customFormat="1" ht="16.5" customHeight="1">
      <c r="A110" s="89"/>
      <c r="B110" s="92" t="s">
        <v>4399</v>
      </c>
      <c r="C110" s="493" t="s">
        <v>4718</v>
      </c>
      <c r="D110" s="493"/>
      <c r="E110" s="493"/>
      <c r="F110" s="493"/>
      <c r="G110" s="493"/>
      <c r="H110" s="493"/>
      <c r="I110" s="493"/>
      <c r="J110" s="493"/>
      <c r="K110" s="493"/>
      <c r="L110" s="493"/>
      <c r="M110" s="493"/>
    </row>
    <row r="111" spans="1:13" s="88" customFormat="1" ht="16.5" customHeight="1">
      <c r="A111" s="89"/>
      <c r="B111" s="90" t="s">
        <v>4640</v>
      </c>
      <c r="C111" s="493" t="s">
        <v>4641</v>
      </c>
      <c r="D111" s="493"/>
      <c r="E111" s="493"/>
      <c r="F111" s="493"/>
      <c r="G111" s="493"/>
      <c r="H111" s="493"/>
      <c r="I111" s="493"/>
      <c r="J111" s="493"/>
      <c r="K111" s="493"/>
      <c r="L111" s="493"/>
      <c r="M111" s="493"/>
    </row>
    <row r="112" spans="1:13" s="88" customFormat="1" ht="16.5" customHeight="1">
      <c r="A112" s="89"/>
      <c r="B112" s="92" t="s">
        <v>4616</v>
      </c>
      <c r="C112" s="493" t="s">
        <v>4617</v>
      </c>
      <c r="D112" s="493"/>
      <c r="E112" s="493"/>
      <c r="F112" s="493"/>
      <c r="G112" s="493"/>
      <c r="H112" s="493"/>
      <c r="I112" s="493"/>
      <c r="J112" s="493"/>
      <c r="K112" s="493"/>
      <c r="L112" s="493"/>
      <c r="M112" s="493"/>
    </row>
    <row r="113" spans="1:13" s="88" customFormat="1" ht="16.5" customHeight="1">
      <c r="A113" s="89"/>
      <c r="B113" s="90" t="s">
        <v>4618</v>
      </c>
      <c r="C113" s="493" t="s">
        <v>4619</v>
      </c>
      <c r="D113" s="493"/>
      <c r="E113" s="493"/>
      <c r="F113" s="493"/>
      <c r="G113" s="493"/>
      <c r="H113" s="493"/>
      <c r="I113" s="493"/>
      <c r="J113" s="493"/>
      <c r="K113" s="493"/>
      <c r="L113" s="493"/>
      <c r="M113" s="493"/>
    </row>
    <row r="114" spans="1:13" s="88" customFormat="1" ht="16.5" customHeight="1">
      <c r="A114" s="89"/>
      <c r="B114" s="90" t="s">
        <v>4620</v>
      </c>
      <c r="C114" s="493" t="s">
        <v>4621</v>
      </c>
      <c r="D114" s="493"/>
      <c r="E114" s="493"/>
      <c r="F114" s="493"/>
      <c r="G114" s="493"/>
      <c r="H114" s="493"/>
      <c r="I114" s="493"/>
      <c r="J114" s="493"/>
      <c r="K114" s="493"/>
      <c r="L114" s="493"/>
      <c r="M114" s="493"/>
    </row>
    <row r="115" spans="1:13" s="88" customFormat="1" ht="24.75" customHeight="1">
      <c r="A115" s="89" t="s">
        <v>1228</v>
      </c>
      <c r="B115" s="493" t="s">
        <v>4622</v>
      </c>
      <c r="C115" s="493"/>
      <c r="D115" s="493"/>
      <c r="E115" s="493"/>
      <c r="F115" s="493"/>
      <c r="G115" s="493"/>
      <c r="H115" s="493"/>
      <c r="I115" s="493"/>
      <c r="J115" s="493"/>
      <c r="K115" s="493"/>
      <c r="L115" s="493"/>
      <c r="M115" s="493"/>
    </row>
    <row r="116" spans="1:13" ht="124.5" customHeight="1">
      <c r="A116" s="89" t="s">
        <v>1229</v>
      </c>
      <c r="B116" s="673" t="s">
        <v>4727</v>
      </c>
      <c r="C116" s="673"/>
      <c r="D116" s="673"/>
      <c r="E116" s="673"/>
      <c r="F116" s="673"/>
      <c r="G116" s="673"/>
      <c r="H116" s="673"/>
      <c r="I116" s="673"/>
      <c r="J116" s="673"/>
      <c r="K116" s="673"/>
      <c r="L116" s="673"/>
      <c r="M116" s="673"/>
    </row>
    <row r="117" spans="1:13" ht="21" customHeight="1">
      <c r="B117" s="494" t="s">
        <v>2863</v>
      </c>
      <c r="C117" s="494"/>
      <c r="D117" s="494"/>
      <c r="E117" s="494"/>
      <c r="F117" s="494"/>
      <c r="G117" s="494"/>
      <c r="H117" s="494"/>
      <c r="I117" s="494"/>
      <c r="J117" s="494"/>
      <c r="K117" s="494"/>
      <c r="L117" s="495"/>
    </row>
    <row r="118" spans="1:13" s="93" customFormat="1" ht="16.5" customHeight="1"/>
    <row r="119" spans="1:13" s="93" customFormat="1" ht="16.5" customHeight="1">
      <c r="A119" s="94" t="s">
        <v>1232</v>
      </c>
      <c r="B119" s="93" t="s">
        <v>1773</v>
      </c>
      <c r="H119" s="4"/>
      <c r="I119" s="4"/>
    </row>
    <row r="120" spans="1:13" ht="16.5" customHeight="1">
      <c r="F120" s="93"/>
      <c r="G120" s="93"/>
    </row>
    <row r="121" spans="1:13" ht="16.5" customHeight="1">
      <c r="B121" s="93" t="s">
        <v>4620</v>
      </c>
      <c r="C121" s="93" t="s">
        <v>4624</v>
      </c>
      <c r="F121" s="93"/>
      <c r="G121" s="93"/>
    </row>
    <row r="122" spans="1:13" ht="16.5" customHeight="1">
      <c r="B122" s="93" t="s">
        <v>4411</v>
      </c>
      <c r="C122" s="93" t="s">
        <v>4625</v>
      </c>
      <c r="F122" s="93"/>
      <c r="G122" s="93"/>
    </row>
    <row r="123" spans="1:13" ht="16.5" customHeight="1">
      <c r="B123" s="93">
        <v>1</v>
      </c>
      <c r="C123" s="93" t="s">
        <v>4626</v>
      </c>
      <c r="F123" s="93"/>
      <c r="G123" s="93"/>
    </row>
    <row r="124" spans="1:13" ht="16.5" customHeight="1">
      <c r="B124" s="93">
        <v>2</v>
      </c>
      <c r="C124" s="93" t="s">
        <v>4627</v>
      </c>
      <c r="F124" s="93"/>
      <c r="G124" s="93"/>
    </row>
    <row r="125" spans="1:13" ht="16.5" customHeight="1">
      <c r="B125" s="93">
        <v>3</v>
      </c>
      <c r="C125" s="93" t="s">
        <v>4628</v>
      </c>
      <c r="F125" s="93"/>
      <c r="G125" s="93"/>
    </row>
    <row r="126" spans="1:13" ht="16.5" customHeight="1">
      <c r="B126" s="93">
        <v>4</v>
      </c>
      <c r="C126" s="93" t="s">
        <v>4629</v>
      </c>
      <c r="F126" s="93"/>
      <c r="G126" s="93"/>
    </row>
    <row r="127" spans="1:13" ht="16.5" customHeight="1">
      <c r="F127" s="93"/>
      <c r="G127" s="93"/>
    </row>
    <row r="128" spans="1:13" ht="16.5" customHeight="1">
      <c r="F128" s="93"/>
      <c r="G128" s="93"/>
    </row>
    <row r="129" spans="2:10" ht="16.5" customHeight="1">
      <c r="B129" s="518" t="s">
        <v>588</v>
      </c>
      <c r="C129" s="518"/>
      <c r="D129" s="518"/>
      <c r="E129" s="518"/>
      <c r="F129" s="518"/>
      <c r="G129" s="518"/>
      <c r="H129" s="518"/>
      <c r="I129" s="518"/>
      <c r="J129" s="518"/>
    </row>
    <row r="130" spans="2:10" ht="16.5" customHeight="1">
      <c r="B130" s="94" t="s">
        <v>4631</v>
      </c>
      <c r="C130" s="94" t="s">
        <v>4632</v>
      </c>
      <c r="D130" s="94" t="s">
        <v>4654</v>
      </c>
      <c r="E130" s="94" t="s">
        <v>4721</v>
      </c>
      <c r="F130" s="94" t="s">
        <v>4415</v>
      </c>
      <c r="G130" s="94" t="s">
        <v>4635</v>
      </c>
      <c r="H130" s="94" t="s">
        <v>4634</v>
      </c>
      <c r="I130" s="94" t="s">
        <v>3792</v>
      </c>
      <c r="J130" s="94" t="s">
        <v>4633</v>
      </c>
    </row>
    <row r="131" spans="2:10" ht="16.5" customHeight="1">
      <c r="B131" s="148">
        <v>40603</v>
      </c>
      <c r="C131" s="148">
        <v>40909</v>
      </c>
      <c r="D131" s="148">
        <v>40599</v>
      </c>
      <c r="E131" s="148">
        <v>40634</v>
      </c>
      <c r="F131" s="162">
        <v>8.5000000000000006E-3</v>
      </c>
      <c r="G131" s="160">
        <v>0.06</v>
      </c>
      <c r="H131" s="93">
        <v>100</v>
      </c>
      <c r="I131" s="93">
        <v>4</v>
      </c>
      <c r="J131" s="93">
        <f>ODDFPRICE(B131,C131,D131,E131,F131,G131,H131,I131,1)</f>
        <v>95.830975562072354</v>
      </c>
    </row>
    <row r="132" spans="2:10" ht="16.5" customHeight="1">
      <c r="B132" s="93"/>
      <c r="C132" s="93"/>
      <c r="D132" s="93"/>
      <c r="E132" s="93"/>
      <c r="F132" s="93"/>
      <c r="G132" s="93"/>
      <c r="H132" s="93"/>
      <c r="I132" s="166" t="s">
        <v>4728</v>
      </c>
      <c r="J132" s="104" t="s">
        <v>1238</v>
      </c>
    </row>
    <row r="133" spans="2:10" ht="16.5" customHeight="1"/>
    <row r="139" spans="2:10">
      <c r="G139" s="93"/>
    </row>
    <row r="140" spans="2:10">
      <c r="G140" s="93"/>
    </row>
    <row r="141" spans="2:10">
      <c r="F141" s="93"/>
      <c r="G141" s="93"/>
    </row>
    <row r="142" spans="2:10">
      <c r="G142" s="93"/>
    </row>
    <row r="143" spans="2:10">
      <c r="G143" s="93"/>
    </row>
    <row r="144" spans="2:10">
      <c r="G144" s="93"/>
    </row>
    <row r="145" spans="7:7">
      <c r="G145" s="93"/>
    </row>
    <row r="146" spans="7:7">
      <c r="G146" s="93"/>
    </row>
    <row r="147" spans="7:7">
      <c r="G147" s="93"/>
    </row>
    <row r="148" spans="7:7">
      <c r="G148" s="93"/>
    </row>
    <row r="149" spans="7:7">
      <c r="G149" s="93"/>
    </row>
    <row r="150" spans="7:7">
      <c r="G150" s="93"/>
    </row>
    <row r="200" spans="1:13" s="88" customFormat="1" ht="26.25" customHeight="1">
      <c r="A200" s="498" t="s">
        <v>1063</v>
      </c>
      <c r="B200" s="498"/>
      <c r="C200" s="499"/>
      <c r="D200" s="87"/>
      <c r="E200" s="500" t="str">
        <f>HYPERLINK("#目录!A385","跳转回到目录页")</f>
        <v>跳转回到目录页</v>
      </c>
      <c r="F200" s="501"/>
    </row>
    <row r="201" spans="1:13" s="88" customFormat="1" ht="26.25" customHeight="1">
      <c r="A201" s="502" t="s">
        <v>1216</v>
      </c>
      <c r="B201" s="502"/>
      <c r="C201" s="503" t="s">
        <v>589</v>
      </c>
      <c r="D201" s="503"/>
      <c r="E201" s="503"/>
      <c r="F201" s="503"/>
      <c r="G201" s="503"/>
      <c r="H201" s="503"/>
      <c r="I201" s="503"/>
      <c r="J201" s="503"/>
      <c r="K201" s="503"/>
      <c r="L201" s="503"/>
      <c r="M201" s="503"/>
    </row>
    <row r="202" spans="1:13" s="88" customFormat="1" ht="16.5" customHeight="1">
      <c r="A202" s="496" t="s">
        <v>1217</v>
      </c>
      <c r="B202" s="496"/>
      <c r="C202" s="493" t="s">
        <v>4729</v>
      </c>
      <c r="D202" s="493"/>
      <c r="E202" s="493"/>
      <c r="F202" s="493"/>
      <c r="G202" s="493"/>
      <c r="H202" s="493"/>
      <c r="I202" s="493"/>
      <c r="J202" s="493"/>
      <c r="K202" s="493"/>
      <c r="L202" s="493"/>
      <c r="M202" s="493"/>
    </row>
    <row r="203" spans="1:13" s="88" customFormat="1" ht="16.5" customHeight="1">
      <c r="A203" s="496" t="s">
        <v>5786</v>
      </c>
      <c r="B203" s="496"/>
      <c r="C203" s="497" t="s">
        <v>589</v>
      </c>
      <c r="D203" s="497"/>
      <c r="E203" s="497"/>
      <c r="F203" s="497"/>
      <c r="G203" s="497"/>
      <c r="H203" s="497"/>
      <c r="I203" s="497"/>
      <c r="J203" s="497"/>
      <c r="K203" s="497"/>
      <c r="L203" s="497"/>
      <c r="M203" s="497"/>
    </row>
    <row r="204" spans="1:13" s="88" customFormat="1" ht="16.5" customHeight="1">
      <c r="A204" s="496" t="s">
        <v>1220</v>
      </c>
      <c r="B204" s="496"/>
      <c r="C204" s="493" t="s">
        <v>4730</v>
      </c>
      <c r="D204" s="493"/>
      <c r="E204" s="493"/>
      <c r="F204" s="493"/>
      <c r="G204" s="493"/>
      <c r="H204" s="493"/>
      <c r="I204" s="493"/>
      <c r="J204" s="493"/>
      <c r="K204" s="493"/>
      <c r="L204" s="493"/>
      <c r="M204" s="493"/>
    </row>
    <row r="205" spans="1:13" s="88" customFormat="1" ht="16.5" customHeight="1">
      <c r="A205" s="496" t="s">
        <v>5785</v>
      </c>
      <c r="B205" s="496"/>
      <c r="C205" s="493" t="s">
        <v>4731</v>
      </c>
      <c r="D205" s="493"/>
      <c r="E205" s="493"/>
      <c r="F205" s="493"/>
      <c r="G205" s="493"/>
      <c r="H205" s="493"/>
      <c r="I205" s="493"/>
      <c r="J205" s="493"/>
      <c r="K205" s="493"/>
      <c r="L205" s="493"/>
      <c r="M205" s="493"/>
    </row>
    <row r="206" spans="1:13" s="88" customFormat="1" ht="16.5" customHeight="1">
      <c r="A206" s="89" t="s">
        <v>1223</v>
      </c>
      <c r="B206" s="92" t="s">
        <v>4609</v>
      </c>
      <c r="C206" s="493" t="s">
        <v>4610</v>
      </c>
      <c r="D206" s="493"/>
      <c r="E206" s="493"/>
      <c r="F206" s="493"/>
      <c r="G206" s="493"/>
      <c r="H206" s="493"/>
      <c r="I206" s="493"/>
      <c r="J206" s="493"/>
      <c r="K206" s="493"/>
      <c r="L206" s="493"/>
      <c r="M206" s="493"/>
    </row>
    <row r="207" spans="1:13" s="88" customFormat="1" ht="16.5" customHeight="1">
      <c r="A207" s="89"/>
      <c r="B207" s="92" t="s">
        <v>4611</v>
      </c>
      <c r="C207" s="493" t="s">
        <v>4612</v>
      </c>
      <c r="D207" s="493"/>
      <c r="E207" s="493"/>
      <c r="F207" s="493"/>
      <c r="G207" s="493"/>
      <c r="H207" s="493"/>
      <c r="I207" s="493"/>
      <c r="J207" s="493"/>
      <c r="K207" s="493"/>
      <c r="L207" s="493"/>
      <c r="M207" s="493"/>
    </row>
    <row r="208" spans="1:13" s="88" customFormat="1" ht="24.75" customHeight="1">
      <c r="A208" s="89"/>
      <c r="B208" s="90" t="s">
        <v>4732</v>
      </c>
      <c r="C208" s="493" t="s">
        <v>4733</v>
      </c>
      <c r="D208" s="493"/>
      <c r="E208" s="493"/>
      <c r="F208" s="493"/>
      <c r="G208" s="493"/>
      <c r="H208" s="493"/>
      <c r="I208" s="493"/>
      <c r="J208" s="493"/>
      <c r="K208" s="493"/>
      <c r="L208" s="493"/>
      <c r="M208" s="493"/>
    </row>
    <row r="209" spans="1:13" s="88" customFormat="1" ht="16.5" customHeight="1">
      <c r="A209" s="89"/>
      <c r="B209" s="92" t="s">
        <v>4399</v>
      </c>
      <c r="C209" s="493" t="s">
        <v>4718</v>
      </c>
      <c r="D209" s="493"/>
      <c r="E209" s="493"/>
      <c r="F209" s="493"/>
      <c r="G209" s="493"/>
      <c r="H209" s="493"/>
      <c r="I209" s="493"/>
      <c r="J209" s="493"/>
      <c r="K209" s="493"/>
      <c r="L209" s="493"/>
      <c r="M209" s="493"/>
    </row>
    <row r="210" spans="1:13" s="88" customFormat="1" ht="16.5" customHeight="1">
      <c r="A210" s="89"/>
      <c r="B210" s="92" t="s">
        <v>4614</v>
      </c>
      <c r="C210" s="493" t="s">
        <v>4719</v>
      </c>
      <c r="D210" s="493"/>
      <c r="E210" s="493"/>
      <c r="F210" s="493"/>
      <c r="G210" s="493"/>
      <c r="H210" s="493"/>
      <c r="I210" s="493"/>
      <c r="J210" s="493"/>
      <c r="K210" s="493"/>
      <c r="L210" s="493"/>
      <c r="M210" s="493"/>
    </row>
    <row r="211" spans="1:13" s="88" customFormat="1" ht="16.5" customHeight="1">
      <c r="A211" s="89"/>
      <c r="B211" s="90" t="s">
        <v>4616</v>
      </c>
      <c r="C211" s="493" t="s">
        <v>4617</v>
      </c>
      <c r="D211" s="493"/>
      <c r="E211" s="493"/>
      <c r="F211" s="493"/>
      <c r="G211" s="493"/>
      <c r="H211" s="493"/>
      <c r="I211" s="493"/>
      <c r="J211" s="493"/>
      <c r="K211" s="493"/>
      <c r="L211" s="493"/>
      <c r="M211" s="493"/>
    </row>
    <row r="212" spans="1:13" s="88" customFormat="1" ht="16.5" customHeight="1">
      <c r="A212" s="89"/>
      <c r="B212" s="92" t="s">
        <v>4618</v>
      </c>
      <c r="C212" s="493" t="s">
        <v>4734</v>
      </c>
      <c r="D212" s="493"/>
      <c r="E212" s="493"/>
      <c r="F212" s="493"/>
      <c r="G212" s="493"/>
      <c r="H212" s="493"/>
      <c r="I212" s="493"/>
      <c r="J212" s="493"/>
      <c r="K212" s="493"/>
      <c r="L212" s="493"/>
      <c r="M212" s="493"/>
    </row>
    <row r="213" spans="1:13" s="88" customFormat="1" ht="16.5" customHeight="1">
      <c r="A213" s="89"/>
      <c r="B213" s="90" t="s">
        <v>4620</v>
      </c>
      <c r="C213" s="493" t="s">
        <v>4621</v>
      </c>
      <c r="D213" s="493"/>
      <c r="E213" s="493"/>
      <c r="F213" s="493"/>
      <c r="G213" s="493"/>
      <c r="H213" s="493"/>
      <c r="I213" s="493"/>
      <c r="J213" s="493"/>
      <c r="K213" s="493"/>
      <c r="L213" s="493"/>
      <c r="M213" s="493"/>
    </row>
    <row r="214" spans="1:13" s="88" customFormat="1" ht="24.75" customHeight="1">
      <c r="A214" s="89" t="s">
        <v>1228</v>
      </c>
      <c r="B214" s="493" t="s">
        <v>4622</v>
      </c>
      <c r="C214" s="493"/>
      <c r="D214" s="493"/>
      <c r="E214" s="493"/>
      <c r="F214" s="493"/>
      <c r="G214" s="493"/>
      <c r="H214" s="493"/>
      <c r="I214" s="493"/>
      <c r="J214" s="493"/>
      <c r="K214" s="493"/>
      <c r="L214" s="493"/>
      <c r="M214" s="493"/>
    </row>
    <row r="215" spans="1:13" ht="136.5" customHeight="1">
      <c r="A215" s="89" t="s">
        <v>1229</v>
      </c>
      <c r="B215" s="673" t="s">
        <v>4735</v>
      </c>
      <c r="C215" s="673"/>
      <c r="D215" s="673"/>
      <c r="E215" s="673"/>
      <c r="F215" s="673"/>
      <c r="G215" s="673"/>
      <c r="H215" s="673"/>
      <c r="I215" s="673"/>
      <c r="J215" s="673"/>
      <c r="K215" s="673"/>
      <c r="L215" s="673"/>
      <c r="M215" s="673"/>
    </row>
    <row r="216" spans="1:13" ht="21" customHeight="1">
      <c r="B216" s="494" t="s">
        <v>2863</v>
      </c>
      <c r="C216" s="494"/>
      <c r="D216" s="494"/>
      <c r="E216" s="494"/>
      <c r="F216" s="494"/>
      <c r="G216" s="494"/>
      <c r="H216" s="494"/>
      <c r="I216" s="494"/>
      <c r="J216" s="494"/>
      <c r="K216" s="494"/>
      <c r="L216" s="495"/>
    </row>
    <row r="217" spans="1:13" s="93" customFormat="1" ht="16.5" customHeight="1"/>
    <row r="218" spans="1:13" s="93" customFormat="1" ht="16.5" customHeight="1">
      <c r="A218" s="94" t="s">
        <v>1232</v>
      </c>
      <c r="B218" s="93" t="s">
        <v>1773</v>
      </c>
      <c r="E218" s="93" t="s">
        <v>3592</v>
      </c>
      <c r="G218" s="4"/>
      <c r="H218" s="4"/>
    </row>
    <row r="219" spans="1:13" ht="16.5" customHeight="1">
      <c r="E219" s="93"/>
      <c r="F219" s="93"/>
    </row>
    <row r="220" spans="1:13" ht="16.5" customHeight="1">
      <c r="B220" s="93" t="s">
        <v>4620</v>
      </c>
      <c r="C220" s="93" t="s">
        <v>4624</v>
      </c>
      <c r="E220" s="93"/>
      <c r="F220" s="93"/>
    </row>
    <row r="221" spans="1:13" ht="16.5" customHeight="1">
      <c r="B221" s="93" t="s">
        <v>4411</v>
      </c>
      <c r="C221" s="93" t="s">
        <v>4625</v>
      </c>
      <c r="E221" s="93"/>
      <c r="F221" s="93"/>
    </row>
    <row r="222" spans="1:13" ht="16.5" customHeight="1">
      <c r="B222" s="93">
        <v>1</v>
      </c>
      <c r="C222" s="93" t="s">
        <v>4626</v>
      </c>
      <c r="E222" s="93"/>
      <c r="F222" s="93"/>
    </row>
    <row r="223" spans="1:13" ht="16.5" customHeight="1">
      <c r="B223" s="93">
        <v>2</v>
      </c>
      <c r="C223" s="93" t="s">
        <v>4627</v>
      </c>
      <c r="E223" s="93"/>
      <c r="F223" s="93"/>
    </row>
    <row r="224" spans="1:13" ht="16.5" customHeight="1">
      <c r="B224" s="93">
        <v>3</v>
      </c>
      <c r="C224" s="93" t="s">
        <v>4628</v>
      </c>
      <c r="E224" s="93"/>
      <c r="F224" s="93"/>
    </row>
    <row r="225" spans="2:12" ht="16.5" customHeight="1">
      <c r="B225" s="93">
        <v>4</v>
      </c>
      <c r="C225" s="93" t="s">
        <v>4629</v>
      </c>
      <c r="E225" s="93"/>
      <c r="F225" s="93"/>
    </row>
    <row r="226" spans="2:12" ht="16.5" customHeight="1">
      <c r="E226" s="93"/>
      <c r="F226" s="93"/>
    </row>
    <row r="227" spans="2:12" ht="16.5" customHeight="1">
      <c r="E227" s="93"/>
      <c r="F227" s="93"/>
    </row>
    <row r="228" spans="2:12" ht="16.5" customHeight="1">
      <c r="B228" s="518" t="s">
        <v>589</v>
      </c>
      <c r="C228" s="518"/>
      <c r="D228" s="518"/>
      <c r="E228" s="518"/>
      <c r="F228" s="518"/>
      <c r="G228" s="518"/>
      <c r="H228" s="518"/>
      <c r="I228" s="518"/>
      <c r="J228" s="518"/>
      <c r="K228" s="93"/>
      <c r="L228" s="93"/>
    </row>
    <row r="229" spans="2:12" ht="16.5" customHeight="1">
      <c r="B229" s="94" t="s">
        <v>4631</v>
      </c>
      <c r="C229" s="94" t="s">
        <v>4632</v>
      </c>
      <c r="D229" s="94" t="s">
        <v>4736</v>
      </c>
      <c r="E229" s="94" t="s">
        <v>4415</v>
      </c>
      <c r="F229" s="94" t="s">
        <v>4633</v>
      </c>
      <c r="G229" s="94" t="s">
        <v>4634</v>
      </c>
      <c r="H229" s="94" t="s">
        <v>3792</v>
      </c>
      <c r="I229" s="94" t="s">
        <v>4635</v>
      </c>
      <c r="K229" s="93"/>
      <c r="L229" s="93"/>
    </row>
    <row r="230" spans="2:12" ht="16.5" customHeight="1">
      <c r="B230" s="148">
        <v>40848</v>
      </c>
      <c r="C230" s="148">
        <v>40862</v>
      </c>
      <c r="D230" s="148">
        <v>40817</v>
      </c>
      <c r="E230" s="162">
        <v>8.5000000000000006E-3</v>
      </c>
      <c r="F230" s="93">
        <v>99.85</v>
      </c>
      <c r="G230" s="93">
        <v>100</v>
      </c>
      <c r="H230" s="93">
        <v>4</v>
      </c>
      <c r="I230" s="163">
        <f>ODDLYIELD(B230,C230,D230,E230,F230,G230,H230,1)</f>
        <v>4.7966175345927835E-2</v>
      </c>
      <c r="K230" s="93"/>
      <c r="L230" s="93"/>
    </row>
    <row r="231" spans="2:12" ht="16.5" customHeight="1">
      <c r="B231" s="93"/>
      <c r="C231" s="93"/>
      <c r="D231" s="93"/>
      <c r="E231" s="93"/>
      <c r="F231" s="93"/>
      <c r="G231" s="93"/>
      <c r="H231" s="93"/>
      <c r="I231" s="166" t="s">
        <v>4737</v>
      </c>
      <c r="J231" s="104" t="s">
        <v>1238</v>
      </c>
      <c r="K231" s="93"/>
      <c r="L231" s="93"/>
    </row>
    <row r="232" spans="2:12" ht="16.5" customHeight="1">
      <c r="B232" s="93"/>
      <c r="C232" s="93"/>
      <c r="D232" s="93"/>
      <c r="E232" s="93"/>
      <c r="F232" s="93"/>
      <c r="G232" s="93"/>
      <c r="H232" s="93"/>
      <c r="I232" s="93"/>
      <c r="J232" s="93"/>
      <c r="K232" s="93"/>
      <c r="L232" s="93"/>
    </row>
    <row r="233" spans="2:12">
      <c r="B233" s="93"/>
      <c r="C233" s="93"/>
      <c r="D233" s="93"/>
      <c r="E233" s="93"/>
      <c r="F233" s="93"/>
      <c r="G233" s="93"/>
      <c r="H233" s="93"/>
      <c r="I233" s="93"/>
      <c r="J233" s="93"/>
      <c r="K233" s="93"/>
      <c r="L233" s="93"/>
    </row>
    <row r="234" spans="2:12">
      <c r="B234" s="93"/>
      <c r="C234" s="93"/>
      <c r="D234" s="93"/>
      <c r="E234" s="93"/>
      <c r="F234" s="93"/>
      <c r="G234" s="93"/>
      <c r="I234" s="93"/>
      <c r="J234" s="93"/>
      <c r="K234" s="93"/>
      <c r="L234" s="93"/>
    </row>
    <row r="235" spans="2:12">
      <c r="B235" s="93"/>
      <c r="C235" s="93"/>
      <c r="D235" s="93"/>
      <c r="E235" s="93"/>
      <c r="F235" s="93"/>
      <c r="G235" s="93"/>
      <c r="H235" s="93"/>
      <c r="I235" s="93"/>
      <c r="J235" s="93"/>
      <c r="K235" s="93"/>
      <c r="L235" s="93"/>
    </row>
    <row r="236" spans="2:12">
      <c r="B236" s="93"/>
      <c r="C236" s="93"/>
      <c r="D236" s="93"/>
      <c r="E236" s="93"/>
      <c r="F236" s="93"/>
      <c r="G236" s="93"/>
      <c r="H236" s="93"/>
      <c r="I236" s="93"/>
      <c r="J236" s="93"/>
      <c r="K236" s="93"/>
      <c r="L236" s="93"/>
    </row>
    <row r="237" spans="2:12">
      <c r="F237" s="93"/>
    </row>
    <row r="238" spans="2:12">
      <c r="F238" s="93"/>
    </row>
    <row r="239" spans="2:12">
      <c r="F239" s="93"/>
    </row>
    <row r="240" spans="2:12">
      <c r="F240" s="93"/>
    </row>
    <row r="241" spans="6:6">
      <c r="F241" s="93"/>
    </row>
    <row r="242" spans="6:6">
      <c r="F242" s="93"/>
    </row>
    <row r="243" spans="6:6">
      <c r="F243" s="93"/>
    </row>
    <row r="244" spans="6:6">
      <c r="F244" s="93"/>
    </row>
    <row r="245" spans="6:6">
      <c r="F245" s="93"/>
    </row>
    <row r="300" spans="1:13" s="88" customFormat="1" ht="26.25" customHeight="1">
      <c r="A300" s="498" t="s">
        <v>590</v>
      </c>
      <c r="B300" s="498"/>
      <c r="C300" s="499"/>
      <c r="D300" s="87"/>
      <c r="E300" s="500" t="str">
        <f>HYPERLINK("#目录!A386","跳转回到目录页")</f>
        <v>跳转回到目录页</v>
      </c>
      <c r="F300" s="501"/>
    </row>
    <row r="301" spans="1:13" s="88" customFormat="1" ht="26.25" customHeight="1">
      <c r="A301" s="502" t="s">
        <v>1216</v>
      </c>
      <c r="B301" s="502"/>
      <c r="C301" s="503" t="s">
        <v>591</v>
      </c>
      <c r="D301" s="503"/>
      <c r="E301" s="503"/>
      <c r="F301" s="503"/>
      <c r="G301" s="503"/>
      <c r="H301" s="503"/>
      <c r="I301" s="503"/>
      <c r="J301" s="503"/>
      <c r="K301" s="503"/>
      <c r="L301" s="503"/>
      <c r="M301" s="503"/>
    </row>
    <row r="302" spans="1:13" s="88" customFormat="1" ht="16.5" customHeight="1">
      <c r="A302" s="496" t="s">
        <v>1217</v>
      </c>
      <c r="B302" s="496"/>
      <c r="C302" s="493" t="s">
        <v>4738</v>
      </c>
      <c r="D302" s="493"/>
      <c r="E302" s="493"/>
      <c r="F302" s="493"/>
      <c r="G302" s="493"/>
      <c r="H302" s="493"/>
      <c r="I302" s="493"/>
      <c r="J302" s="493"/>
      <c r="K302" s="493"/>
      <c r="L302" s="493"/>
      <c r="M302" s="493"/>
    </row>
    <row r="303" spans="1:13" s="88" customFormat="1" ht="16.5" customHeight="1">
      <c r="A303" s="496" t="s">
        <v>5786</v>
      </c>
      <c r="B303" s="496"/>
      <c r="C303" s="497" t="s">
        <v>591</v>
      </c>
      <c r="D303" s="497"/>
      <c r="E303" s="497"/>
      <c r="F303" s="497"/>
      <c r="G303" s="497"/>
      <c r="H303" s="497"/>
      <c r="I303" s="497"/>
      <c r="J303" s="497"/>
      <c r="K303" s="497"/>
      <c r="L303" s="497"/>
      <c r="M303" s="497"/>
    </row>
    <row r="304" spans="1:13" s="88" customFormat="1" ht="16.5" customHeight="1">
      <c r="A304" s="496" t="s">
        <v>1220</v>
      </c>
      <c r="B304" s="496"/>
      <c r="C304" s="493" t="s">
        <v>4739</v>
      </c>
      <c r="D304" s="493"/>
      <c r="E304" s="493"/>
      <c r="F304" s="493"/>
      <c r="G304" s="493"/>
      <c r="H304" s="493"/>
      <c r="I304" s="493"/>
      <c r="J304" s="493"/>
      <c r="K304" s="493"/>
      <c r="L304" s="493"/>
      <c r="M304" s="493"/>
    </row>
    <row r="305" spans="1:13" s="88" customFormat="1" ht="16.5" customHeight="1">
      <c r="A305" s="496" t="s">
        <v>5785</v>
      </c>
      <c r="B305" s="496"/>
      <c r="C305" s="493" t="s">
        <v>4740</v>
      </c>
      <c r="D305" s="493"/>
      <c r="E305" s="493"/>
      <c r="F305" s="493"/>
      <c r="G305" s="493"/>
      <c r="H305" s="493"/>
      <c r="I305" s="493"/>
      <c r="J305" s="493"/>
      <c r="K305" s="493"/>
      <c r="L305" s="493"/>
      <c r="M305" s="493"/>
    </row>
    <row r="306" spans="1:13" s="88" customFormat="1" ht="16.5" customHeight="1">
      <c r="A306" s="89" t="s">
        <v>1223</v>
      </c>
      <c r="B306" s="92" t="s">
        <v>4609</v>
      </c>
      <c r="C306" s="493" t="s">
        <v>4741</v>
      </c>
      <c r="D306" s="493"/>
      <c r="E306" s="493"/>
      <c r="F306" s="493"/>
      <c r="G306" s="493"/>
      <c r="H306" s="493"/>
      <c r="I306" s="493"/>
      <c r="J306" s="493"/>
      <c r="K306" s="493"/>
      <c r="L306" s="493"/>
      <c r="M306" s="493"/>
    </row>
    <row r="307" spans="1:13" s="88" customFormat="1" ht="16.5" customHeight="1">
      <c r="A307" s="89"/>
      <c r="B307" s="92" t="s">
        <v>4611</v>
      </c>
      <c r="C307" s="493" t="s">
        <v>4612</v>
      </c>
      <c r="D307" s="493"/>
      <c r="E307" s="493"/>
      <c r="F307" s="493"/>
      <c r="G307" s="493"/>
      <c r="H307" s="493"/>
      <c r="I307" s="493"/>
      <c r="J307" s="493"/>
      <c r="K307" s="493"/>
      <c r="L307" s="493"/>
      <c r="M307" s="493"/>
    </row>
    <row r="308" spans="1:13" s="88" customFormat="1" ht="24.75" customHeight="1">
      <c r="A308" s="89"/>
      <c r="B308" s="90" t="s">
        <v>4732</v>
      </c>
      <c r="C308" s="493" t="s">
        <v>4733</v>
      </c>
      <c r="D308" s="493"/>
      <c r="E308" s="493"/>
      <c r="F308" s="493"/>
      <c r="G308" s="493"/>
      <c r="H308" s="493"/>
      <c r="I308" s="493"/>
      <c r="J308" s="493"/>
      <c r="K308" s="493"/>
      <c r="L308" s="493"/>
      <c r="M308" s="493"/>
    </row>
    <row r="309" spans="1:13" s="88" customFormat="1" ht="16.5" customHeight="1">
      <c r="A309" s="89"/>
      <c r="B309" s="92" t="s">
        <v>4399</v>
      </c>
      <c r="C309" s="493" t="s">
        <v>4718</v>
      </c>
      <c r="D309" s="493"/>
      <c r="E309" s="493"/>
      <c r="F309" s="493"/>
      <c r="G309" s="493"/>
      <c r="H309" s="493"/>
      <c r="I309" s="493"/>
      <c r="J309" s="493"/>
      <c r="K309" s="493"/>
      <c r="L309" s="493"/>
      <c r="M309" s="493"/>
    </row>
    <row r="310" spans="1:13" s="88" customFormat="1" ht="16.5" customHeight="1">
      <c r="A310" s="89"/>
      <c r="B310" s="92" t="s">
        <v>4640</v>
      </c>
      <c r="C310" s="493" t="s">
        <v>4641</v>
      </c>
      <c r="D310" s="493"/>
      <c r="E310" s="493"/>
      <c r="F310" s="493"/>
      <c r="G310" s="493"/>
      <c r="H310" s="493"/>
      <c r="I310" s="493"/>
      <c r="J310" s="493"/>
      <c r="K310" s="493"/>
      <c r="L310" s="493"/>
      <c r="M310" s="493"/>
    </row>
    <row r="311" spans="1:13" s="88" customFormat="1" ht="16.5" customHeight="1">
      <c r="A311" s="89"/>
      <c r="B311" s="90" t="s">
        <v>4616</v>
      </c>
      <c r="C311" s="493" t="s">
        <v>4617</v>
      </c>
      <c r="D311" s="493"/>
      <c r="E311" s="493"/>
      <c r="F311" s="493"/>
      <c r="G311" s="493"/>
      <c r="H311" s="493"/>
      <c r="I311" s="493"/>
      <c r="J311" s="493"/>
      <c r="K311" s="493"/>
      <c r="L311" s="493"/>
      <c r="M311" s="493"/>
    </row>
    <row r="312" spans="1:13" s="88" customFormat="1" ht="16.5" customHeight="1">
      <c r="A312" s="89"/>
      <c r="B312" s="92" t="s">
        <v>4618</v>
      </c>
      <c r="C312" s="493" t="s">
        <v>4619</v>
      </c>
      <c r="D312" s="493"/>
      <c r="E312" s="493"/>
      <c r="F312" s="493"/>
      <c r="G312" s="493"/>
      <c r="H312" s="493"/>
      <c r="I312" s="493"/>
      <c r="J312" s="493"/>
      <c r="K312" s="493"/>
      <c r="L312" s="493"/>
      <c r="M312" s="493"/>
    </row>
    <row r="313" spans="1:13" s="88" customFormat="1" ht="16.5" customHeight="1">
      <c r="A313" s="89"/>
      <c r="B313" s="90" t="s">
        <v>4620</v>
      </c>
      <c r="C313" s="493" t="s">
        <v>4621</v>
      </c>
      <c r="D313" s="493"/>
      <c r="E313" s="493"/>
      <c r="F313" s="493"/>
      <c r="G313" s="493"/>
      <c r="H313" s="493"/>
      <c r="I313" s="493"/>
      <c r="J313" s="493"/>
      <c r="K313" s="493"/>
      <c r="L313" s="493"/>
      <c r="M313" s="493"/>
    </row>
    <row r="314" spans="1:13" s="88" customFormat="1" ht="24.75" customHeight="1">
      <c r="A314" s="89" t="s">
        <v>1228</v>
      </c>
      <c r="B314" s="493" t="s">
        <v>4622</v>
      </c>
      <c r="C314" s="493"/>
      <c r="D314" s="493"/>
      <c r="E314" s="493"/>
      <c r="F314" s="493"/>
      <c r="G314" s="493"/>
      <c r="H314" s="493"/>
      <c r="I314" s="493"/>
      <c r="J314" s="493"/>
      <c r="K314" s="493"/>
      <c r="L314" s="493"/>
      <c r="M314" s="493"/>
    </row>
    <row r="315" spans="1:13" ht="121.5" customHeight="1">
      <c r="A315" s="89" t="s">
        <v>1229</v>
      </c>
      <c r="B315" s="673" t="s">
        <v>4742</v>
      </c>
      <c r="C315" s="673"/>
      <c r="D315" s="673"/>
      <c r="E315" s="673"/>
      <c r="F315" s="673"/>
      <c r="G315" s="673"/>
      <c r="H315" s="673"/>
      <c r="I315" s="673"/>
      <c r="J315" s="673"/>
      <c r="K315" s="673"/>
      <c r="L315" s="673"/>
      <c r="M315" s="673"/>
    </row>
    <row r="316" spans="1:13" ht="21" customHeight="1">
      <c r="B316" s="494" t="s">
        <v>2863</v>
      </c>
      <c r="C316" s="494"/>
      <c r="D316" s="494"/>
      <c r="E316" s="494"/>
      <c r="F316" s="494"/>
      <c r="G316" s="494"/>
      <c r="H316" s="494"/>
      <c r="I316" s="494"/>
      <c r="J316" s="494"/>
      <c r="K316" s="494"/>
      <c r="L316" s="495"/>
    </row>
    <row r="317" spans="1:13" s="93" customFormat="1" ht="16.5" customHeight="1"/>
    <row r="318" spans="1:13" s="93" customFormat="1" ht="16.5" customHeight="1">
      <c r="A318" s="94" t="s">
        <v>1232</v>
      </c>
      <c r="B318" s="93" t="s">
        <v>1773</v>
      </c>
      <c r="G318" s="4"/>
      <c r="H318" s="4"/>
    </row>
    <row r="319" spans="1:13" ht="16.5" customHeight="1">
      <c r="E319" s="93"/>
      <c r="F319" s="93"/>
    </row>
    <row r="320" spans="1:13" ht="16.5" customHeight="1">
      <c r="B320" s="93" t="s">
        <v>4620</v>
      </c>
      <c r="C320" s="93" t="s">
        <v>4624</v>
      </c>
      <c r="E320" s="93"/>
      <c r="F320" s="93"/>
    </row>
    <row r="321" spans="2:12" ht="16.5" customHeight="1">
      <c r="B321" s="93" t="s">
        <v>4411</v>
      </c>
      <c r="C321" s="93" t="s">
        <v>4625</v>
      </c>
      <c r="E321" s="93"/>
      <c r="F321" s="93"/>
    </row>
    <row r="322" spans="2:12" ht="16.5" customHeight="1">
      <c r="B322" s="93">
        <v>1</v>
      </c>
      <c r="C322" s="93" t="s">
        <v>4626</v>
      </c>
      <c r="E322" s="93"/>
      <c r="F322" s="93"/>
    </row>
    <row r="323" spans="2:12" ht="16.5" customHeight="1">
      <c r="B323" s="93">
        <v>2</v>
      </c>
      <c r="C323" s="93" t="s">
        <v>4627</v>
      </c>
      <c r="E323" s="93"/>
      <c r="F323" s="93"/>
    </row>
    <row r="324" spans="2:12" ht="16.5" customHeight="1">
      <c r="B324" s="93">
        <v>3</v>
      </c>
      <c r="C324" s="93" t="s">
        <v>4628</v>
      </c>
      <c r="E324" s="93"/>
      <c r="F324" s="93"/>
    </row>
    <row r="325" spans="2:12" ht="16.5" customHeight="1">
      <c r="B325" s="93">
        <v>4</v>
      </c>
      <c r="C325" s="93" t="s">
        <v>4629</v>
      </c>
      <c r="E325" s="93"/>
      <c r="F325" s="93"/>
    </row>
    <row r="326" spans="2:12" ht="16.5" customHeight="1">
      <c r="E326" s="93"/>
      <c r="F326" s="93"/>
    </row>
    <row r="327" spans="2:12" ht="16.5" customHeight="1"/>
    <row r="328" spans="2:12" ht="16.5" customHeight="1">
      <c r="B328" s="518" t="s">
        <v>591</v>
      </c>
      <c r="C328" s="518"/>
      <c r="D328" s="518"/>
      <c r="E328" s="518"/>
      <c r="F328" s="518"/>
      <c r="G328" s="518"/>
      <c r="H328" s="518"/>
      <c r="I328" s="518"/>
      <c r="J328" s="518"/>
      <c r="K328" s="93"/>
      <c r="L328" s="93"/>
    </row>
    <row r="329" spans="2:12" ht="16.5" customHeight="1">
      <c r="B329" s="94" t="s">
        <v>4631</v>
      </c>
      <c r="C329" s="94" t="s">
        <v>4632</v>
      </c>
      <c r="D329" s="94" t="s">
        <v>4736</v>
      </c>
      <c r="E329" s="94" t="s">
        <v>4415</v>
      </c>
      <c r="F329" s="94" t="s">
        <v>4635</v>
      </c>
      <c r="G329" s="94" t="s">
        <v>4634</v>
      </c>
      <c r="H329" s="94" t="s">
        <v>3792</v>
      </c>
      <c r="I329" s="94" t="s">
        <v>4633</v>
      </c>
      <c r="K329" s="93"/>
      <c r="L329" s="93"/>
    </row>
    <row r="330" spans="2:12" ht="16.5" customHeight="1">
      <c r="B330" s="148">
        <v>40848</v>
      </c>
      <c r="C330" s="148">
        <v>40862</v>
      </c>
      <c r="D330" s="148">
        <v>40817</v>
      </c>
      <c r="E330" s="162">
        <v>8.5000000000000006E-3</v>
      </c>
      <c r="F330" s="162">
        <v>4.7966175345927835E-2</v>
      </c>
      <c r="G330" s="93">
        <v>100</v>
      </c>
      <c r="H330" s="93">
        <v>4</v>
      </c>
      <c r="I330" s="93">
        <f>ODDLPRICE(B330,C330,D330,E330,F330,G330,H330,1)</f>
        <v>99.84999999999998</v>
      </c>
      <c r="K330" s="93"/>
      <c r="L330" s="93"/>
    </row>
    <row r="331" spans="2:12" ht="16.5" customHeight="1">
      <c r="B331" s="93"/>
      <c r="C331" s="93"/>
      <c r="D331" s="93"/>
      <c r="E331" s="93"/>
      <c r="F331" s="93"/>
      <c r="G331" s="93"/>
      <c r="H331" s="93"/>
      <c r="I331" s="166" t="s">
        <v>4743</v>
      </c>
      <c r="J331" s="104" t="s">
        <v>1238</v>
      </c>
      <c r="K331" s="93"/>
      <c r="L331" s="93"/>
    </row>
    <row r="332" spans="2:12" ht="16.5" customHeight="1">
      <c r="B332" s="93"/>
      <c r="C332" s="93"/>
      <c r="D332" s="93"/>
      <c r="E332" s="93"/>
      <c r="F332" s="93"/>
      <c r="G332" s="93"/>
      <c r="H332" s="93"/>
      <c r="I332" s="93"/>
      <c r="J332" s="93"/>
      <c r="K332" s="93"/>
      <c r="L332" s="93"/>
    </row>
    <row r="333" spans="2:12" ht="16.5" customHeight="1">
      <c r="B333" s="93"/>
      <c r="C333" s="93"/>
      <c r="D333" s="93"/>
      <c r="E333" s="93"/>
      <c r="F333" s="93"/>
      <c r="G333" s="93"/>
      <c r="H333" s="93"/>
      <c r="I333" s="93"/>
      <c r="J333" s="93"/>
      <c r="K333" s="93"/>
      <c r="L333" s="93"/>
    </row>
    <row r="334" spans="2:12" ht="16.5" customHeight="1">
      <c r="B334" s="93"/>
      <c r="C334" s="93"/>
      <c r="D334" s="93"/>
      <c r="E334" s="93"/>
      <c r="F334" s="93"/>
      <c r="H334" s="93"/>
      <c r="I334" s="93"/>
      <c r="J334" s="93"/>
      <c r="K334" s="93"/>
      <c r="L334" s="93"/>
    </row>
    <row r="335" spans="2:12">
      <c r="B335" s="93"/>
      <c r="C335" s="93"/>
      <c r="D335" s="93"/>
      <c r="E335" s="93"/>
      <c r="F335" s="93"/>
      <c r="G335" s="93"/>
      <c r="H335" s="93"/>
      <c r="I335" s="93"/>
      <c r="J335" s="93"/>
      <c r="K335" s="93"/>
      <c r="L335" s="93"/>
    </row>
    <row r="336" spans="2:12">
      <c r="B336" s="93"/>
      <c r="C336" s="93"/>
      <c r="D336" s="93"/>
      <c r="E336" s="93"/>
      <c r="F336" s="93"/>
      <c r="G336" s="93"/>
      <c r="H336" s="93"/>
      <c r="I336" s="93"/>
      <c r="J336" s="93"/>
      <c r="K336" s="93"/>
      <c r="L336" s="93"/>
    </row>
  </sheetData>
  <mergeCells count="98">
    <mergeCell ref="A1:C1"/>
    <mergeCell ref="E1:F1"/>
    <mergeCell ref="A2:B2"/>
    <mergeCell ref="C2:M2"/>
    <mergeCell ref="A3:B3"/>
    <mergeCell ref="C3:M3"/>
    <mergeCell ref="C12:M12"/>
    <mergeCell ref="A4:B4"/>
    <mergeCell ref="C4:M4"/>
    <mergeCell ref="A5:B5"/>
    <mergeCell ref="C5:M5"/>
    <mergeCell ref="A6:B6"/>
    <mergeCell ref="C6:M6"/>
    <mergeCell ref="C7:M7"/>
    <mergeCell ref="C8:M8"/>
    <mergeCell ref="C9:M9"/>
    <mergeCell ref="C10:M10"/>
    <mergeCell ref="C11:M11"/>
    <mergeCell ref="A102:B102"/>
    <mergeCell ref="C102:M102"/>
    <mergeCell ref="C13:M13"/>
    <mergeCell ref="C14:M14"/>
    <mergeCell ref="C15:M15"/>
    <mergeCell ref="B16:M16"/>
    <mergeCell ref="B17:M17"/>
    <mergeCell ref="B18:L18"/>
    <mergeCell ref="B30:J30"/>
    <mergeCell ref="A100:C100"/>
    <mergeCell ref="E100:F100"/>
    <mergeCell ref="A101:B101"/>
    <mergeCell ref="C101:M101"/>
    <mergeCell ref="C111:M111"/>
    <mergeCell ref="A103:B103"/>
    <mergeCell ref="C103:M103"/>
    <mergeCell ref="A104:B104"/>
    <mergeCell ref="C104:M104"/>
    <mergeCell ref="A105:B105"/>
    <mergeCell ref="C105:M105"/>
    <mergeCell ref="C106:M106"/>
    <mergeCell ref="C107:M107"/>
    <mergeCell ref="C108:M108"/>
    <mergeCell ref="C109:M109"/>
    <mergeCell ref="C110:M110"/>
    <mergeCell ref="A202:B202"/>
    <mergeCell ref="C202:M202"/>
    <mergeCell ref="C112:M112"/>
    <mergeCell ref="C113:M113"/>
    <mergeCell ref="C114:M114"/>
    <mergeCell ref="B115:M115"/>
    <mergeCell ref="B116:M116"/>
    <mergeCell ref="B117:L117"/>
    <mergeCell ref="B129:J129"/>
    <mergeCell ref="A200:C200"/>
    <mergeCell ref="E200:F200"/>
    <mergeCell ref="A201:B201"/>
    <mergeCell ref="C201:M201"/>
    <mergeCell ref="A203:B203"/>
    <mergeCell ref="C203:M203"/>
    <mergeCell ref="A204:B204"/>
    <mergeCell ref="C204:M204"/>
    <mergeCell ref="A205:B205"/>
    <mergeCell ref="C205:M205"/>
    <mergeCell ref="B228:J228"/>
    <mergeCell ref="C206:M206"/>
    <mergeCell ref="C207:M207"/>
    <mergeCell ref="C208:M208"/>
    <mergeCell ref="C209:M209"/>
    <mergeCell ref="C210:M210"/>
    <mergeCell ref="C211:M211"/>
    <mergeCell ref="C212:M212"/>
    <mergeCell ref="C213:M213"/>
    <mergeCell ref="B214:M214"/>
    <mergeCell ref="B215:M215"/>
    <mergeCell ref="B216:L216"/>
    <mergeCell ref="A300:C300"/>
    <mergeCell ref="E300:F300"/>
    <mergeCell ref="A301:B301"/>
    <mergeCell ref="C301:M301"/>
    <mergeCell ref="A302:B302"/>
    <mergeCell ref="C302:M302"/>
    <mergeCell ref="A303:B303"/>
    <mergeCell ref="C303:M303"/>
    <mergeCell ref="A304:B304"/>
    <mergeCell ref="C304:M304"/>
    <mergeCell ref="A305:B305"/>
    <mergeCell ref="C305:M305"/>
    <mergeCell ref="B328:J328"/>
    <mergeCell ref="C306:M306"/>
    <mergeCell ref="C307:M307"/>
    <mergeCell ref="C308:M308"/>
    <mergeCell ref="C309:M309"/>
    <mergeCell ref="C310:M310"/>
    <mergeCell ref="C311:M311"/>
    <mergeCell ref="C312:M312"/>
    <mergeCell ref="C313:M313"/>
    <mergeCell ref="B314:M314"/>
    <mergeCell ref="B315:M315"/>
    <mergeCell ref="B316:L316"/>
  </mergeCells>
  <phoneticPr fontId="2" type="noConversion"/>
  <pageMargins left="0.75" right="0.75" top="1" bottom="1" header="0.5" footer="0.5"/>
  <headerFooter scaleWithDoc="0"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6"/>
  <dimension ref="A1:AV228"/>
  <sheetViews>
    <sheetView topLeftCell="A181"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593</v>
      </c>
      <c r="B1" s="498"/>
      <c r="C1" s="499"/>
      <c r="D1" s="87"/>
      <c r="E1" s="500" t="str">
        <f>HYPERLINK("#目录!A388","跳转回到目录页")</f>
        <v>跳转回到目录页</v>
      </c>
      <c r="F1" s="501"/>
    </row>
    <row r="2" spans="1:13" s="88" customFormat="1" ht="26.25" customHeight="1">
      <c r="A2" s="502" t="s">
        <v>1216</v>
      </c>
      <c r="B2" s="502"/>
      <c r="C2" s="503" t="s">
        <v>594</v>
      </c>
      <c r="D2" s="503"/>
      <c r="E2" s="503"/>
      <c r="F2" s="503"/>
      <c r="G2" s="503"/>
      <c r="H2" s="503"/>
      <c r="I2" s="503"/>
      <c r="J2" s="503"/>
      <c r="K2" s="503"/>
      <c r="L2" s="503"/>
      <c r="M2" s="503"/>
    </row>
    <row r="3" spans="1:13" s="88" customFormat="1" ht="16.5" customHeight="1">
      <c r="A3" s="496" t="s">
        <v>1217</v>
      </c>
      <c r="B3" s="496"/>
      <c r="C3" s="493" t="s">
        <v>4744</v>
      </c>
      <c r="D3" s="493"/>
      <c r="E3" s="493"/>
      <c r="F3" s="493"/>
      <c r="G3" s="493"/>
      <c r="H3" s="493"/>
      <c r="I3" s="493"/>
      <c r="J3" s="493"/>
      <c r="K3" s="493"/>
      <c r="L3" s="493"/>
      <c r="M3" s="493"/>
    </row>
    <row r="4" spans="1:13" s="88" customFormat="1" ht="16.5" customHeight="1">
      <c r="A4" s="496" t="s">
        <v>5786</v>
      </c>
      <c r="B4" s="496"/>
      <c r="C4" s="497" t="s">
        <v>594</v>
      </c>
      <c r="D4" s="497"/>
      <c r="E4" s="497"/>
      <c r="F4" s="497"/>
      <c r="G4" s="497"/>
      <c r="H4" s="497"/>
      <c r="I4" s="497"/>
      <c r="J4" s="497"/>
      <c r="K4" s="497"/>
      <c r="L4" s="497"/>
      <c r="M4" s="497"/>
    </row>
    <row r="5" spans="1:13" s="88" customFormat="1" ht="16.5" customHeight="1">
      <c r="A5" s="496" t="s">
        <v>1220</v>
      </c>
      <c r="B5" s="496"/>
      <c r="C5" s="493" t="s">
        <v>4745</v>
      </c>
      <c r="D5" s="493"/>
      <c r="E5" s="493"/>
      <c r="F5" s="493"/>
      <c r="G5" s="493"/>
      <c r="H5" s="493"/>
      <c r="I5" s="493"/>
      <c r="J5" s="493"/>
      <c r="K5" s="493"/>
      <c r="L5" s="493"/>
      <c r="M5" s="493"/>
    </row>
    <row r="6" spans="1:13" s="88" customFormat="1" ht="16.5" customHeight="1">
      <c r="A6" s="496" t="s">
        <v>5785</v>
      </c>
      <c r="B6" s="496"/>
      <c r="C6" s="493" t="s">
        <v>4746</v>
      </c>
      <c r="D6" s="493"/>
      <c r="E6" s="493"/>
      <c r="F6" s="493"/>
      <c r="G6" s="493"/>
      <c r="H6" s="493"/>
      <c r="I6" s="493"/>
      <c r="J6" s="493"/>
      <c r="K6" s="493"/>
      <c r="L6" s="493"/>
      <c r="M6" s="493"/>
    </row>
    <row r="7" spans="1:13" s="88" customFormat="1" ht="16.5" customHeight="1">
      <c r="A7" s="89" t="s">
        <v>1223</v>
      </c>
      <c r="B7" s="92" t="s">
        <v>4609</v>
      </c>
      <c r="C7" s="493" t="s">
        <v>4610</v>
      </c>
      <c r="D7" s="493"/>
      <c r="E7" s="493"/>
      <c r="F7" s="493"/>
      <c r="G7" s="493"/>
      <c r="H7" s="493"/>
      <c r="I7" s="493"/>
      <c r="J7" s="493"/>
      <c r="K7" s="493"/>
      <c r="L7" s="493"/>
      <c r="M7" s="493"/>
    </row>
    <row r="8" spans="1:13" s="88" customFormat="1" ht="16.5" customHeight="1">
      <c r="A8" s="89"/>
      <c r="B8" s="92" t="s">
        <v>4611</v>
      </c>
      <c r="C8" s="493" t="s">
        <v>4612</v>
      </c>
      <c r="D8" s="493"/>
      <c r="E8" s="493"/>
      <c r="F8" s="493"/>
      <c r="G8" s="493"/>
      <c r="H8" s="493"/>
      <c r="I8" s="493"/>
      <c r="J8" s="493"/>
      <c r="K8" s="493"/>
      <c r="L8" s="493"/>
      <c r="M8" s="493"/>
    </row>
    <row r="9" spans="1:13" s="88" customFormat="1" ht="16.5" customHeight="1">
      <c r="A9" s="89"/>
      <c r="B9" s="90" t="s">
        <v>4647</v>
      </c>
      <c r="C9" s="493" t="s">
        <v>4747</v>
      </c>
      <c r="D9" s="493"/>
      <c r="E9" s="493"/>
      <c r="F9" s="493"/>
      <c r="G9" s="493"/>
      <c r="H9" s="493"/>
      <c r="I9" s="493"/>
      <c r="J9" s="493"/>
      <c r="K9" s="493"/>
      <c r="L9" s="493"/>
      <c r="M9" s="493"/>
    </row>
    <row r="10" spans="1:13" s="88" customFormat="1" ht="16.5" customHeight="1">
      <c r="A10" s="89"/>
      <c r="B10" s="92" t="s">
        <v>4399</v>
      </c>
      <c r="C10" s="493" t="s">
        <v>4748</v>
      </c>
      <c r="D10" s="493"/>
      <c r="E10" s="493"/>
      <c r="F10" s="493"/>
      <c r="G10" s="493"/>
      <c r="H10" s="493"/>
      <c r="I10" s="493"/>
      <c r="J10" s="493"/>
      <c r="K10" s="493"/>
      <c r="L10" s="493"/>
      <c r="M10" s="493"/>
    </row>
    <row r="11" spans="1:13" s="88" customFormat="1" ht="16.5" customHeight="1">
      <c r="A11" s="89"/>
      <c r="B11" s="92" t="s">
        <v>4614</v>
      </c>
      <c r="C11" s="493" t="s">
        <v>4615</v>
      </c>
      <c r="D11" s="493"/>
      <c r="E11" s="493"/>
      <c r="F11" s="493"/>
      <c r="G11" s="493"/>
      <c r="H11" s="493"/>
      <c r="I11" s="493"/>
      <c r="J11" s="493"/>
      <c r="K11" s="493"/>
      <c r="L11" s="493"/>
      <c r="M11" s="493"/>
    </row>
    <row r="12" spans="1:13" s="88" customFormat="1" ht="16.5" customHeight="1">
      <c r="A12" s="89"/>
      <c r="B12" s="90" t="s">
        <v>4620</v>
      </c>
      <c r="C12" s="493" t="s">
        <v>4621</v>
      </c>
      <c r="D12" s="493"/>
      <c r="E12" s="493"/>
      <c r="F12" s="493"/>
      <c r="G12" s="493"/>
      <c r="H12" s="493"/>
      <c r="I12" s="493"/>
      <c r="J12" s="493"/>
      <c r="K12" s="493"/>
      <c r="L12" s="493"/>
      <c r="M12" s="493"/>
    </row>
    <row r="13" spans="1:13" s="88" customFormat="1" ht="24.75" customHeight="1">
      <c r="A13" s="89" t="s">
        <v>1228</v>
      </c>
      <c r="B13" s="493" t="s">
        <v>4622</v>
      </c>
      <c r="C13" s="493"/>
      <c r="D13" s="493"/>
      <c r="E13" s="493"/>
      <c r="F13" s="493"/>
      <c r="G13" s="493"/>
      <c r="H13" s="493"/>
      <c r="I13" s="493"/>
      <c r="J13" s="493"/>
      <c r="K13" s="493"/>
      <c r="L13" s="493"/>
      <c r="M13" s="493"/>
    </row>
    <row r="14" spans="1:13" ht="134.25" customHeight="1">
      <c r="A14" s="89" t="s">
        <v>1229</v>
      </c>
      <c r="B14" s="673" t="s">
        <v>4749</v>
      </c>
      <c r="C14" s="673"/>
      <c r="D14" s="673"/>
      <c r="E14" s="673"/>
      <c r="F14" s="673"/>
      <c r="G14" s="673"/>
      <c r="H14" s="673"/>
      <c r="I14" s="673"/>
      <c r="J14" s="673"/>
      <c r="K14" s="673"/>
      <c r="L14" s="673"/>
      <c r="M14" s="673"/>
    </row>
    <row r="15" spans="1:13" ht="21" customHeight="1">
      <c r="B15" s="494" t="s">
        <v>2863</v>
      </c>
      <c r="C15" s="494"/>
      <c r="D15" s="494"/>
      <c r="E15" s="494"/>
      <c r="F15" s="494"/>
      <c r="G15" s="494"/>
      <c r="H15" s="494"/>
      <c r="I15" s="494"/>
      <c r="J15" s="494"/>
      <c r="K15" s="494"/>
      <c r="L15" s="495"/>
    </row>
    <row r="16" spans="1:13" s="93" customFormat="1" ht="16.5" customHeight="1"/>
    <row r="17" spans="1:48" s="93" customFormat="1" ht="16.5" customHeight="1">
      <c r="A17" s="94" t="s">
        <v>1232</v>
      </c>
      <c r="B17" s="93" t="s">
        <v>1773</v>
      </c>
    </row>
    <row r="18" spans="1:48" s="93" customFormat="1" ht="16.5" customHeight="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t="s">
        <v>4620</v>
      </c>
      <c r="C19" s="93" t="s">
        <v>4624</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t="s">
        <v>4411</v>
      </c>
      <c r="C20" s="93" t="s">
        <v>4625</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3">
        <v>1</v>
      </c>
      <c r="C21" s="93" t="s">
        <v>4626</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v>2</v>
      </c>
      <c r="C22" s="93" t="s">
        <v>4627</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93">
        <v>3</v>
      </c>
      <c r="C23" s="93" t="s">
        <v>4628</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B24" s="93">
        <v>4</v>
      </c>
      <c r="C24" s="93" t="s">
        <v>4629</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E25" s="93" t="s">
        <v>3592</v>
      </c>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A26" s="9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518" t="s">
        <v>594</v>
      </c>
      <c r="C27" s="518"/>
      <c r="D27" s="518"/>
      <c r="E27" s="518"/>
      <c r="F27" s="518"/>
      <c r="G27" s="518"/>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94" t="s">
        <v>4631</v>
      </c>
      <c r="C28" s="94" t="s">
        <v>4632</v>
      </c>
      <c r="D28" s="94" t="s">
        <v>4654</v>
      </c>
      <c r="E28" s="94" t="s">
        <v>4415</v>
      </c>
      <c r="F28" s="94" t="s">
        <v>4633</v>
      </c>
      <c r="G28" s="94" t="s">
        <v>4635</v>
      </c>
      <c r="H28" s="104" t="s">
        <v>1238</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B29" s="148">
        <v>40806</v>
      </c>
      <c r="C29" s="148">
        <v>44275</v>
      </c>
      <c r="D29" s="148">
        <v>40622</v>
      </c>
      <c r="E29" s="162">
        <v>5.0000000000000001E-3</v>
      </c>
      <c r="F29" s="93">
        <v>95</v>
      </c>
      <c r="G29" s="162">
        <f>YIELDMAT(B29,C29,D29,E29,F29,1)</f>
        <v>1.0772347243030556E-2</v>
      </c>
      <c r="H29" s="108" t="s">
        <v>4750</v>
      </c>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A36" s="9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s="93" customFormat="1" ht="16.5" customHeight="1">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48">
      <c r="A51" s="93"/>
      <c r="B51" s="93"/>
      <c r="C51" s="93"/>
      <c r="D51" s="93"/>
      <c r="G51" s="93"/>
      <c r="H51" s="93"/>
      <c r="I51" s="93"/>
      <c r="J51" s="93"/>
      <c r="K51" s="93"/>
      <c r="L51" s="93"/>
      <c r="M51" s="93"/>
    </row>
    <row r="52" spans="1:48">
      <c r="F52" s="93"/>
    </row>
    <row r="53" spans="1:48">
      <c r="F53" s="93"/>
    </row>
    <row r="54" spans="1:48">
      <c r="F54" s="93"/>
    </row>
    <row r="55" spans="1:48">
      <c r="F55" s="93"/>
    </row>
    <row r="56" spans="1:48">
      <c r="F56" s="93"/>
    </row>
    <row r="57" spans="1:48">
      <c r="F57" s="93"/>
    </row>
    <row r="58" spans="1:48">
      <c r="F58" s="93"/>
    </row>
    <row r="59" spans="1:48">
      <c r="F59" s="93"/>
    </row>
    <row r="60" spans="1:48">
      <c r="F60" s="93"/>
    </row>
    <row r="61" spans="1:48">
      <c r="F61" s="93"/>
    </row>
    <row r="100" spans="1:13" s="88" customFormat="1" ht="26.25" customHeight="1">
      <c r="A100" s="498" t="s">
        <v>1084</v>
      </c>
      <c r="B100" s="498"/>
      <c r="C100" s="499"/>
      <c r="D100" s="87"/>
      <c r="E100" s="500" t="str">
        <f>HYPERLINK("#目录!A389","跳转回到目录页")</f>
        <v>跳转回到目录页</v>
      </c>
      <c r="F100" s="501"/>
    </row>
    <row r="101" spans="1:13" s="88" customFormat="1" ht="26.25" customHeight="1">
      <c r="A101" s="502" t="s">
        <v>1216</v>
      </c>
      <c r="B101" s="502"/>
      <c r="C101" s="503" t="s">
        <v>595</v>
      </c>
      <c r="D101" s="503"/>
      <c r="E101" s="503"/>
      <c r="F101" s="503"/>
      <c r="G101" s="503"/>
      <c r="H101" s="503"/>
      <c r="I101" s="503"/>
      <c r="J101" s="503"/>
      <c r="K101" s="503"/>
      <c r="L101" s="503"/>
      <c r="M101" s="503"/>
    </row>
    <row r="102" spans="1:13" s="88" customFormat="1" ht="16.5" customHeight="1">
      <c r="A102" s="496" t="s">
        <v>1217</v>
      </c>
      <c r="B102" s="496"/>
      <c r="C102" s="493" t="s">
        <v>4751</v>
      </c>
      <c r="D102" s="493"/>
      <c r="E102" s="493"/>
      <c r="F102" s="493"/>
      <c r="G102" s="493"/>
      <c r="H102" s="493"/>
      <c r="I102" s="493"/>
      <c r="J102" s="493"/>
      <c r="K102" s="493"/>
      <c r="L102" s="493"/>
      <c r="M102" s="493"/>
    </row>
    <row r="103" spans="1:13" s="88" customFormat="1" ht="16.5" customHeight="1">
      <c r="A103" s="496" t="s">
        <v>5786</v>
      </c>
      <c r="B103" s="496"/>
      <c r="C103" s="497" t="s">
        <v>595</v>
      </c>
      <c r="D103" s="497"/>
      <c r="E103" s="497"/>
      <c r="F103" s="497"/>
      <c r="G103" s="497"/>
      <c r="H103" s="497"/>
      <c r="I103" s="497"/>
      <c r="J103" s="497"/>
      <c r="K103" s="497"/>
      <c r="L103" s="497"/>
      <c r="M103" s="497"/>
    </row>
    <row r="104" spans="1:13" s="88" customFormat="1" ht="16.5" customHeight="1">
      <c r="A104" s="496" t="s">
        <v>1220</v>
      </c>
      <c r="B104" s="496"/>
      <c r="C104" s="493" t="s">
        <v>4752</v>
      </c>
      <c r="D104" s="493"/>
      <c r="E104" s="493"/>
      <c r="F104" s="493"/>
      <c r="G104" s="493"/>
      <c r="H104" s="493"/>
      <c r="I104" s="493"/>
      <c r="J104" s="493"/>
      <c r="K104" s="493"/>
      <c r="L104" s="493"/>
      <c r="M104" s="493"/>
    </row>
    <row r="105" spans="1:13" s="88" customFormat="1" ht="16.5" customHeight="1">
      <c r="A105" s="496" t="s">
        <v>5785</v>
      </c>
      <c r="B105" s="496"/>
      <c r="C105" s="493" t="s">
        <v>4753</v>
      </c>
      <c r="D105" s="493"/>
      <c r="E105" s="493"/>
      <c r="F105" s="493"/>
      <c r="G105" s="493"/>
      <c r="H105" s="493"/>
      <c r="I105" s="493"/>
      <c r="J105" s="493"/>
      <c r="K105" s="493"/>
      <c r="L105" s="493"/>
      <c r="M105" s="493"/>
    </row>
    <row r="106" spans="1:13" s="88" customFormat="1" ht="16.5" customHeight="1">
      <c r="A106" s="89" t="s">
        <v>1223</v>
      </c>
      <c r="B106" s="92" t="s">
        <v>4609</v>
      </c>
      <c r="C106" s="493" t="s">
        <v>4726</v>
      </c>
      <c r="D106" s="493"/>
      <c r="E106" s="493"/>
      <c r="F106" s="493"/>
      <c r="G106" s="493"/>
      <c r="H106" s="493"/>
      <c r="I106" s="493"/>
      <c r="J106" s="493"/>
      <c r="K106" s="493"/>
      <c r="L106" s="493"/>
      <c r="M106" s="493"/>
    </row>
    <row r="107" spans="1:13" s="88" customFormat="1" ht="16.5" customHeight="1">
      <c r="A107" s="89"/>
      <c r="B107" s="92" t="s">
        <v>4611</v>
      </c>
      <c r="C107" s="493" t="s">
        <v>4612</v>
      </c>
      <c r="D107" s="493"/>
      <c r="E107" s="493"/>
      <c r="F107" s="493"/>
      <c r="G107" s="493"/>
      <c r="H107" s="493"/>
      <c r="I107" s="493"/>
      <c r="J107" s="493"/>
      <c r="K107" s="493"/>
      <c r="L107" s="493"/>
      <c r="M107" s="493"/>
    </row>
    <row r="108" spans="1:13" s="88" customFormat="1" ht="16.5" customHeight="1">
      <c r="A108" s="89"/>
      <c r="B108" s="90" t="s">
        <v>4647</v>
      </c>
      <c r="C108" s="493" t="s">
        <v>4747</v>
      </c>
      <c r="D108" s="493"/>
      <c r="E108" s="493"/>
      <c r="F108" s="493"/>
      <c r="G108" s="493"/>
      <c r="H108" s="493"/>
      <c r="I108" s="493"/>
      <c r="J108" s="493"/>
      <c r="K108" s="493"/>
      <c r="L108" s="493"/>
      <c r="M108" s="493"/>
    </row>
    <row r="109" spans="1:13" s="88" customFormat="1" ht="16.5" customHeight="1">
      <c r="A109" s="89"/>
      <c r="B109" s="92" t="s">
        <v>4399</v>
      </c>
      <c r="C109" s="493" t="s">
        <v>4748</v>
      </c>
      <c r="D109" s="493"/>
      <c r="E109" s="493"/>
      <c r="F109" s="493"/>
      <c r="G109" s="493"/>
      <c r="H109" s="493"/>
      <c r="I109" s="493"/>
      <c r="J109" s="493"/>
      <c r="K109" s="493"/>
      <c r="L109" s="493"/>
      <c r="M109" s="493"/>
    </row>
    <row r="110" spans="1:13" s="88" customFormat="1" ht="16.5" customHeight="1">
      <c r="A110" s="89"/>
      <c r="B110" s="90" t="s">
        <v>4640</v>
      </c>
      <c r="C110" s="493" t="s">
        <v>4641</v>
      </c>
      <c r="D110" s="493"/>
      <c r="E110" s="493"/>
      <c r="F110" s="493"/>
      <c r="G110" s="493"/>
      <c r="H110" s="493"/>
      <c r="I110" s="493"/>
      <c r="J110" s="493"/>
      <c r="K110" s="493"/>
      <c r="L110" s="493"/>
      <c r="M110" s="493"/>
    </row>
    <row r="111" spans="1:13" s="88" customFormat="1" ht="16.5" customHeight="1">
      <c r="A111" s="89"/>
      <c r="B111" s="90" t="s">
        <v>4620</v>
      </c>
      <c r="C111" s="493" t="s">
        <v>4621</v>
      </c>
      <c r="D111" s="493"/>
      <c r="E111" s="493"/>
      <c r="F111" s="493"/>
      <c r="G111" s="493"/>
      <c r="H111" s="493"/>
      <c r="I111" s="493"/>
      <c r="J111" s="493"/>
      <c r="K111" s="493"/>
      <c r="L111" s="493"/>
      <c r="M111" s="493"/>
    </row>
    <row r="112" spans="1:13" s="88" customFormat="1" ht="24.75" customHeight="1">
      <c r="A112" s="89" t="s">
        <v>1228</v>
      </c>
      <c r="B112" s="493" t="s">
        <v>4622</v>
      </c>
      <c r="C112" s="493"/>
      <c r="D112" s="493"/>
      <c r="E112" s="493"/>
      <c r="F112" s="493"/>
      <c r="G112" s="493"/>
      <c r="H112" s="493"/>
      <c r="I112" s="493"/>
      <c r="J112" s="493"/>
      <c r="K112" s="493"/>
      <c r="L112" s="493"/>
      <c r="M112" s="493"/>
    </row>
    <row r="113" spans="1:13" ht="121.5" customHeight="1">
      <c r="A113" s="89" t="s">
        <v>1229</v>
      </c>
      <c r="B113" s="673" t="s">
        <v>4754</v>
      </c>
      <c r="C113" s="673"/>
      <c r="D113" s="673"/>
      <c r="E113" s="673"/>
      <c r="F113" s="673"/>
      <c r="G113" s="673"/>
      <c r="H113" s="673"/>
      <c r="I113" s="673"/>
      <c r="J113" s="673"/>
      <c r="K113" s="673"/>
      <c r="L113" s="673"/>
      <c r="M113" s="673"/>
    </row>
    <row r="114" spans="1:13" ht="21" customHeight="1">
      <c r="B114" s="494" t="s">
        <v>2863</v>
      </c>
      <c r="C114" s="494"/>
      <c r="D114" s="494"/>
      <c r="E114" s="494"/>
      <c r="F114" s="494"/>
      <c r="G114" s="494"/>
      <c r="H114" s="494"/>
      <c r="I114" s="494"/>
      <c r="J114" s="494"/>
      <c r="K114" s="494"/>
      <c r="L114" s="495"/>
    </row>
    <row r="115" spans="1:13" s="93" customFormat="1" ht="16.5" customHeight="1"/>
    <row r="116" spans="1:13" s="93" customFormat="1" ht="16.5" customHeight="1">
      <c r="A116" s="94" t="s">
        <v>1232</v>
      </c>
      <c r="B116" s="93" t="s">
        <v>1773</v>
      </c>
      <c r="H116" s="4"/>
    </row>
    <row r="117" spans="1:13" ht="16.5" customHeight="1">
      <c r="F117" s="93" t="s">
        <v>3592</v>
      </c>
      <c r="G117" s="93"/>
    </row>
    <row r="118" spans="1:13" ht="16.5" customHeight="1">
      <c r="B118" s="93" t="s">
        <v>4620</v>
      </c>
      <c r="C118" s="93" t="s">
        <v>4624</v>
      </c>
      <c r="F118" s="93"/>
      <c r="G118" s="93"/>
    </row>
    <row r="119" spans="1:13" ht="16.5" customHeight="1">
      <c r="B119" s="93" t="s">
        <v>4411</v>
      </c>
      <c r="C119" s="93" t="s">
        <v>4625</v>
      </c>
    </row>
    <row r="120" spans="1:13" ht="16.5" customHeight="1">
      <c r="B120" s="93">
        <v>1</v>
      </c>
      <c r="C120" s="93" t="s">
        <v>4626</v>
      </c>
      <c r="F120" s="93"/>
    </row>
    <row r="121" spans="1:13" ht="16.5" customHeight="1">
      <c r="B121" s="93">
        <v>2</v>
      </c>
      <c r="C121" s="93" t="s">
        <v>4627</v>
      </c>
      <c r="F121" s="93"/>
    </row>
    <row r="122" spans="1:13" ht="16.5" customHeight="1">
      <c r="B122" s="93">
        <v>3</v>
      </c>
      <c r="C122" s="93" t="s">
        <v>4628</v>
      </c>
      <c r="F122" s="93"/>
    </row>
    <row r="123" spans="1:13" ht="16.5" customHeight="1">
      <c r="B123" s="93">
        <v>4</v>
      </c>
      <c r="C123" s="93" t="s">
        <v>4629</v>
      </c>
      <c r="F123" s="93"/>
    </row>
    <row r="124" spans="1:13" ht="16.5" customHeight="1">
      <c r="F124" s="93"/>
    </row>
    <row r="125" spans="1:13" ht="16.5" customHeight="1">
      <c r="F125" s="93"/>
      <c r="G125" s="93"/>
    </row>
    <row r="126" spans="1:13" ht="16.5" customHeight="1">
      <c r="B126" s="518" t="s">
        <v>595</v>
      </c>
      <c r="C126" s="518"/>
      <c r="D126" s="518"/>
      <c r="E126" s="518"/>
      <c r="F126" s="518"/>
      <c r="G126" s="518"/>
      <c r="H126" s="93"/>
    </row>
    <row r="127" spans="1:13" ht="16.5" customHeight="1">
      <c r="B127" s="94" t="s">
        <v>4631</v>
      </c>
      <c r="C127" s="94" t="s">
        <v>4632</v>
      </c>
      <c r="D127" s="94" t="s">
        <v>4654</v>
      </c>
      <c r="E127" s="94" t="s">
        <v>4415</v>
      </c>
      <c r="F127" s="94" t="s">
        <v>4635</v>
      </c>
      <c r="G127" s="94" t="s">
        <v>4633</v>
      </c>
      <c r="H127" s="104" t="s">
        <v>1238</v>
      </c>
    </row>
    <row r="128" spans="1:13" ht="16.5" customHeight="1">
      <c r="B128" s="148">
        <v>40806</v>
      </c>
      <c r="C128" s="148">
        <v>44275</v>
      </c>
      <c r="D128" s="148">
        <v>40622</v>
      </c>
      <c r="E128" s="162">
        <v>5.0000000000000001E-3</v>
      </c>
      <c r="F128" s="162">
        <v>1.0999999999999999E-2</v>
      </c>
      <c r="G128" s="93">
        <f>PRICEMAT(B128,C128,D128,E128,F128,1)</f>
        <v>94.813415652623135</v>
      </c>
      <c r="H128" s="108" t="s">
        <v>4755</v>
      </c>
    </row>
    <row r="129" spans="2:8" ht="16.5" customHeight="1">
      <c r="B129" s="93"/>
      <c r="C129" s="93"/>
      <c r="D129" s="93"/>
      <c r="E129" s="93"/>
      <c r="F129" s="93"/>
      <c r="G129" s="93"/>
      <c r="H129" s="93"/>
    </row>
    <row r="130" spans="2:8">
      <c r="G130" s="93"/>
    </row>
    <row r="131" spans="2:8">
      <c r="G131" s="93"/>
    </row>
    <row r="133" spans="2:8">
      <c r="G133" s="93"/>
    </row>
    <row r="134" spans="2:8">
      <c r="G134" s="93"/>
    </row>
    <row r="200" spans="1:13" s="88" customFormat="1" ht="26.25" customHeight="1">
      <c r="A200" s="498" t="s">
        <v>724</v>
      </c>
      <c r="B200" s="498"/>
      <c r="C200" s="499"/>
      <c r="D200" s="87"/>
      <c r="E200" s="500" t="str">
        <f>HYPERLINK("#目录!A390","跳转回到目录页")</f>
        <v>跳转回到目录页</v>
      </c>
      <c r="F200" s="501"/>
    </row>
    <row r="201" spans="1:13" s="88" customFormat="1" ht="26.25" customHeight="1">
      <c r="A201" s="502" t="s">
        <v>1216</v>
      </c>
      <c r="B201" s="502"/>
      <c r="C201" s="503" t="s">
        <v>596</v>
      </c>
      <c r="D201" s="503"/>
      <c r="E201" s="503"/>
      <c r="F201" s="503"/>
      <c r="G201" s="503"/>
      <c r="H201" s="503"/>
      <c r="I201" s="503"/>
      <c r="J201" s="503"/>
      <c r="K201" s="503"/>
      <c r="L201" s="503"/>
      <c r="M201" s="503"/>
    </row>
    <row r="202" spans="1:13" s="88" customFormat="1" ht="16.5" customHeight="1">
      <c r="A202" s="496" t="s">
        <v>1217</v>
      </c>
      <c r="B202" s="496"/>
      <c r="C202" s="493" t="s">
        <v>4756</v>
      </c>
      <c r="D202" s="493"/>
      <c r="E202" s="493"/>
      <c r="F202" s="493"/>
      <c r="G202" s="493"/>
      <c r="H202" s="493"/>
      <c r="I202" s="493"/>
      <c r="J202" s="493"/>
      <c r="K202" s="493"/>
      <c r="L202" s="493"/>
      <c r="M202" s="493"/>
    </row>
    <row r="203" spans="1:13" s="88" customFormat="1" ht="16.5" customHeight="1">
      <c r="A203" s="496" t="s">
        <v>5786</v>
      </c>
      <c r="B203" s="496"/>
      <c r="C203" s="497" t="s">
        <v>596</v>
      </c>
      <c r="D203" s="497"/>
      <c r="E203" s="497"/>
      <c r="F203" s="497"/>
      <c r="G203" s="497"/>
      <c r="H203" s="497"/>
      <c r="I203" s="497"/>
      <c r="J203" s="497"/>
      <c r="K203" s="497"/>
      <c r="L203" s="497"/>
      <c r="M203" s="497"/>
    </row>
    <row r="204" spans="1:13" s="88" customFormat="1" ht="16.5" customHeight="1">
      <c r="A204" s="496" t="s">
        <v>1220</v>
      </c>
      <c r="B204" s="496"/>
      <c r="C204" s="493" t="s">
        <v>4757</v>
      </c>
      <c r="D204" s="493"/>
      <c r="E204" s="493"/>
      <c r="F204" s="493"/>
      <c r="G204" s="493"/>
      <c r="H204" s="493"/>
      <c r="I204" s="493"/>
      <c r="J204" s="493"/>
      <c r="K204" s="493"/>
      <c r="L204" s="493"/>
      <c r="M204" s="493"/>
    </row>
    <row r="205" spans="1:13" s="88" customFormat="1" ht="16.5" customHeight="1">
      <c r="A205" s="496" t="s">
        <v>5785</v>
      </c>
      <c r="B205" s="496"/>
      <c r="C205" s="493" t="s">
        <v>4758</v>
      </c>
      <c r="D205" s="493"/>
      <c r="E205" s="493"/>
      <c r="F205" s="493"/>
      <c r="G205" s="493"/>
      <c r="H205" s="493"/>
      <c r="I205" s="493"/>
      <c r="J205" s="493"/>
      <c r="K205" s="493"/>
      <c r="L205" s="493"/>
      <c r="M205" s="493"/>
    </row>
    <row r="206" spans="1:13" s="88" customFormat="1" ht="16.5" customHeight="1">
      <c r="A206" s="89" t="s">
        <v>1223</v>
      </c>
      <c r="B206" s="92" t="s">
        <v>4647</v>
      </c>
      <c r="C206" s="493" t="s">
        <v>4648</v>
      </c>
      <c r="D206" s="493"/>
      <c r="E206" s="493"/>
      <c r="F206" s="493"/>
      <c r="G206" s="493"/>
      <c r="H206" s="493"/>
      <c r="I206" s="493"/>
      <c r="J206" s="493"/>
      <c r="K206" s="493"/>
      <c r="L206" s="493"/>
      <c r="M206" s="493"/>
    </row>
    <row r="207" spans="1:13" s="88" customFormat="1" ht="16.5" customHeight="1">
      <c r="A207" s="89"/>
      <c r="B207" s="92" t="s">
        <v>4611</v>
      </c>
      <c r="C207" s="493" t="s">
        <v>4759</v>
      </c>
      <c r="D207" s="493"/>
      <c r="E207" s="493"/>
      <c r="F207" s="493"/>
      <c r="G207" s="493"/>
      <c r="H207" s="493"/>
      <c r="I207" s="493"/>
      <c r="J207" s="493"/>
      <c r="K207" s="493"/>
      <c r="L207" s="493"/>
      <c r="M207" s="493"/>
    </row>
    <row r="208" spans="1:13" s="88" customFormat="1" ht="16.5" customHeight="1">
      <c r="A208" s="89"/>
      <c r="B208" s="90" t="s">
        <v>4399</v>
      </c>
      <c r="C208" s="493" t="s">
        <v>4613</v>
      </c>
      <c r="D208" s="493"/>
      <c r="E208" s="493"/>
      <c r="F208" s="493"/>
      <c r="G208" s="493"/>
      <c r="H208" s="493"/>
      <c r="I208" s="493"/>
      <c r="J208" s="493"/>
      <c r="K208" s="493"/>
      <c r="L208" s="493"/>
      <c r="M208" s="493"/>
    </row>
    <row r="209" spans="1:13" s="88" customFormat="1" ht="16.5" customHeight="1">
      <c r="A209" s="89"/>
      <c r="B209" s="90" t="s">
        <v>4651</v>
      </c>
      <c r="C209" s="493" t="s">
        <v>4760</v>
      </c>
      <c r="D209" s="493"/>
      <c r="E209" s="493"/>
      <c r="F209" s="493"/>
      <c r="G209" s="493"/>
      <c r="H209" s="493"/>
      <c r="I209" s="493"/>
      <c r="J209" s="493"/>
      <c r="K209" s="493"/>
      <c r="L209" s="493"/>
      <c r="M209" s="493"/>
    </row>
    <row r="210" spans="1:13" s="88" customFormat="1" ht="16.5" customHeight="1">
      <c r="A210" s="89"/>
      <c r="B210" s="90" t="s">
        <v>4620</v>
      </c>
      <c r="C210" s="493" t="s">
        <v>4621</v>
      </c>
      <c r="D210" s="493"/>
      <c r="E210" s="493"/>
      <c r="F210" s="493"/>
      <c r="G210" s="493"/>
      <c r="H210" s="493"/>
      <c r="I210" s="493"/>
      <c r="J210" s="493"/>
      <c r="K210" s="493"/>
      <c r="L210" s="493"/>
      <c r="M210" s="493"/>
    </row>
    <row r="211" spans="1:13" s="88" customFormat="1" ht="24.75" customHeight="1">
      <c r="A211" s="89" t="s">
        <v>1228</v>
      </c>
      <c r="B211" s="493" t="s">
        <v>4622</v>
      </c>
      <c r="C211" s="493"/>
      <c r="D211" s="493"/>
      <c r="E211" s="493"/>
      <c r="F211" s="493"/>
      <c r="G211" s="493"/>
      <c r="H211" s="493"/>
      <c r="I211" s="493"/>
      <c r="J211" s="493"/>
      <c r="K211" s="493"/>
      <c r="L211" s="493"/>
      <c r="M211" s="493"/>
    </row>
    <row r="212" spans="1:13" ht="99.75" customHeight="1">
      <c r="A212" s="89" t="s">
        <v>1229</v>
      </c>
      <c r="B212" s="673" t="s">
        <v>4761</v>
      </c>
      <c r="C212" s="673"/>
      <c r="D212" s="673"/>
      <c r="E212" s="673"/>
      <c r="F212" s="673"/>
      <c r="G212" s="673"/>
      <c r="H212" s="673"/>
      <c r="I212" s="673"/>
      <c r="J212" s="673"/>
      <c r="K212" s="673"/>
      <c r="L212" s="673"/>
      <c r="M212" s="673"/>
    </row>
    <row r="213" spans="1:13" ht="21" customHeight="1">
      <c r="B213" s="494" t="s">
        <v>2863</v>
      </c>
      <c r="C213" s="494"/>
      <c r="D213" s="494"/>
      <c r="E213" s="494"/>
      <c r="F213" s="494"/>
      <c r="G213" s="494"/>
      <c r="H213" s="494"/>
      <c r="I213" s="494"/>
      <c r="J213" s="494"/>
      <c r="K213" s="494"/>
      <c r="L213" s="495"/>
    </row>
    <row r="214" spans="1:13" s="93" customFormat="1" ht="16.5" customHeight="1"/>
    <row r="215" spans="1:13" s="93" customFormat="1" ht="16.5" customHeight="1">
      <c r="A215" s="94" t="s">
        <v>1232</v>
      </c>
      <c r="B215" s="93" t="s">
        <v>1773</v>
      </c>
      <c r="E215" s="93" t="s">
        <v>3592</v>
      </c>
      <c r="G215" s="4"/>
    </row>
    <row r="216" spans="1:13" ht="16.5" customHeight="1">
      <c r="E216" s="93"/>
      <c r="F216" s="93"/>
    </row>
    <row r="217" spans="1:13" ht="16.5" customHeight="1">
      <c r="B217" s="93" t="s">
        <v>4620</v>
      </c>
      <c r="C217" s="93" t="s">
        <v>4624</v>
      </c>
      <c r="E217" s="93"/>
      <c r="F217" s="93"/>
    </row>
    <row r="218" spans="1:13" ht="16.5" customHeight="1">
      <c r="B218" s="93" t="s">
        <v>4411</v>
      </c>
      <c r="C218" s="93" t="s">
        <v>4625</v>
      </c>
      <c r="E218" s="93"/>
      <c r="F218" s="93"/>
    </row>
    <row r="219" spans="1:13" ht="16.5" customHeight="1">
      <c r="B219" s="93">
        <v>1</v>
      </c>
      <c r="C219" s="93" t="s">
        <v>4626</v>
      </c>
      <c r="E219" s="93"/>
      <c r="F219" s="93"/>
    </row>
    <row r="220" spans="1:13" ht="16.5" customHeight="1">
      <c r="B220" s="93">
        <v>2</v>
      </c>
      <c r="C220" s="93" t="s">
        <v>4627</v>
      </c>
      <c r="E220" s="93"/>
      <c r="F220" s="93"/>
    </row>
    <row r="221" spans="1:13" ht="16.5" customHeight="1">
      <c r="B221" s="93">
        <v>3</v>
      </c>
      <c r="C221" s="93" t="s">
        <v>4628</v>
      </c>
      <c r="E221" s="93"/>
      <c r="F221" s="93"/>
    </row>
    <row r="222" spans="1:13" ht="16.5" customHeight="1">
      <c r="B222" s="93">
        <v>4</v>
      </c>
      <c r="C222" s="93" t="s">
        <v>4629</v>
      </c>
      <c r="E222" s="93"/>
      <c r="F222" s="93"/>
    </row>
    <row r="223" spans="1:13" ht="16.5" customHeight="1">
      <c r="E223" s="93" t="s">
        <v>3592</v>
      </c>
      <c r="F223" s="93"/>
    </row>
    <row r="224" spans="1:13" ht="16.5" customHeight="1"/>
    <row r="225" spans="2:8" ht="16.5" customHeight="1">
      <c r="B225" s="518" t="s">
        <v>596</v>
      </c>
      <c r="C225" s="518"/>
      <c r="D225" s="518"/>
      <c r="E225" s="518"/>
      <c r="F225" s="518"/>
      <c r="G225" s="518"/>
      <c r="H225" s="93"/>
    </row>
    <row r="226" spans="2:8" ht="16.5" customHeight="1">
      <c r="B226" s="94" t="s">
        <v>4762</v>
      </c>
      <c r="C226" s="94" t="s">
        <v>4763</v>
      </c>
      <c r="D226" s="94" t="s">
        <v>4415</v>
      </c>
      <c r="E226" s="94" t="s">
        <v>4634</v>
      </c>
      <c r="F226" s="94" t="s">
        <v>4656</v>
      </c>
      <c r="G226" s="104" t="s">
        <v>1238</v>
      </c>
    </row>
    <row r="227" spans="2:8" ht="16.5" customHeight="1">
      <c r="B227" s="148">
        <v>40806</v>
      </c>
      <c r="C227" s="148">
        <v>44275</v>
      </c>
      <c r="D227" s="162">
        <v>5.0000000000000001E-3</v>
      </c>
      <c r="E227" s="4">
        <v>100</v>
      </c>
      <c r="F227" s="165">
        <f>ACCRINTM(B227,C227,D227,E227,1)</f>
        <v>4.7485067197610755</v>
      </c>
      <c r="G227" s="108" t="s">
        <v>4764</v>
      </c>
    </row>
    <row r="228" spans="2:8" ht="16.5" customHeight="1">
      <c r="B228" s="93"/>
      <c r="C228" s="93"/>
      <c r="D228" s="93"/>
      <c r="E228" s="93"/>
      <c r="F228" s="93"/>
      <c r="H228" s="93"/>
    </row>
  </sheetData>
  <mergeCells count="65">
    <mergeCell ref="A1:C1"/>
    <mergeCell ref="E1:F1"/>
    <mergeCell ref="A2:B2"/>
    <mergeCell ref="C2:M2"/>
    <mergeCell ref="A3:B3"/>
    <mergeCell ref="C3:M3"/>
    <mergeCell ref="C12:M12"/>
    <mergeCell ref="A4:B4"/>
    <mergeCell ref="C4:M4"/>
    <mergeCell ref="A5:B5"/>
    <mergeCell ref="C5:M5"/>
    <mergeCell ref="A6:B6"/>
    <mergeCell ref="C6:M6"/>
    <mergeCell ref="C7:M7"/>
    <mergeCell ref="C8:M8"/>
    <mergeCell ref="C9:M9"/>
    <mergeCell ref="C10:M10"/>
    <mergeCell ref="C11:M11"/>
    <mergeCell ref="B13:M13"/>
    <mergeCell ref="B14:M14"/>
    <mergeCell ref="B15:L15"/>
    <mergeCell ref="B27:G27"/>
    <mergeCell ref="A100:C100"/>
    <mergeCell ref="E100:F100"/>
    <mergeCell ref="A101:B101"/>
    <mergeCell ref="C101:M101"/>
    <mergeCell ref="A102:B102"/>
    <mergeCell ref="C102:M102"/>
    <mergeCell ref="A103:B103"/>
    <mergeCell ref="C103:M103"/>
    <mergeCell ref="B113:M113"/>
    <mergeCell ref="A104:B104"/>
    <mergeCell ref="C104:M104"/>
    <mergeCell ref="A105:B105"/>
    <mergeCell ref="C105:M105"/>
    <mergeCell ref="C106:M106"/>
    <mergeCell ref="C107:M107"/>
    <mergeCell ref="C108:M108"/>
    <mergeCell ref="C109:M109"/>
    <mergeCell ref="C110:M110"/>
    <mergeCell ref="C111:M111"/>
    <mergeCell ref="B112:M112"/>
    <mergeCell ref="B114:L114"/>
    <mergeCell ref="B126:G126"/>
    <mergeCell ref="A200:C200"/>
    <mergeCell ref="E200:F200"/>
    <mergeCell ref="A201:B201"/>
    <mergeCell ref="C201:M201"/>
    <mergeCell ref="C209:M209"/>
    <mergeCell ref="A202:B202"/>
    <mergeCell ref="C202:M202"/>
    <mergeCell ref="A203:B203"/>
    <mergeCell ref="C203:M203"/>
    <mergeCell ref="A204:B204"/>
    <mergeCell ref="C204:M204"/>
    <mergeCell ref="A205:B205"/>
    <mergeCell ref="C205:M205"/>
    <mergeCell ref="C206:M206"/>
    <mergeCell ref="C207:M207"/>
    <mergeCell ref="C208:M208"/>
    <mergeCell ref="C210:M210"/>
    <mergeCell ref="B211:M211"/>
    <mergeCell ref="B212:M212"/>
    <mergeCell ref="B213:L213"/>
    <mergeCell ref="B225:G225"/>
  </mergeCells>
  <phoneticPr fontId="2" type="noConversion"/>
  <pageMargins left="0.75" right="0.75" top="1" bottom="1" header="0.5" footer="0.5"/>
  <pageSetup paperSize="9" orientation="portrait" horizontalDpi="0" verticalDpi="0"/>
  <headerFooter scaleWithDoc="0"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7"/>
  <dimension ref="A1:AV427"/>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13" s="88" customFormat="1" ht="26.25" customHeight="1">
      <c r="A1" s="498" t="s">
        <v>1205</v>
      </c>
      <c r="B1" s="498"/>
      <c r="C1" s="499"/>
      <c r="D1" s="87"/>
      <c r="E1" s="500" t="str">
        <f>HYPERLINK("#目录!A392","跳转回到目录页")</f>
        <v>跳转回到目录页</v>
      </c>
      <c r="F1" s="501"/>
    </row>
    <row r="2" spans="1:13" s="88" customFormat="1" ht="26.25" customHeight="1">
      <c r="A2" s="502" t="s">
        <v>1216</v>
      </c>
      <c r="B2" s="502"/>
      <c r="C2" s="503" t="s">
        <v>598</v>
      </c>
      <c r="D2" s="503"/>
      <c r="E2" s="503"/>
      <c r="F2" s="503"/>
      <c r="G2" s="503"/>
      <c r="H2" s="503"/>
      <c r="I2" s="503"/>
      <c r="J2" s="503"/>
      <c r="K2" s="503"/>
      <c r="L2" s="503"/>
      <c r="M2" s="503"/>
    </row>
    <row r="3" spans="1:13" s="88" customFormat="1" ht="16.5" customHeight="1">
      <c r="A3" s="496" t="s">
        <v>1217</v>
      </c>
      <c r="B3" s="496"/>
      <c r="C3" s="493" t="s">
        <v>4765</v>
      </c>
      <c r="D3" s="493"/>
      <c r="E3" s="493"/>
      <c r="F3" s="493"/>
      <c r="G3" s="493"/>
      <c r="H3" s="493"/>
      <c r="I3" s="493"/>
      <c r="J3" s="493"/>
      <c r="K3" s="493"/>
      <c r="L3" s="493"/>
      <c r="M3" s="493"/>
    </row>
    <row r="4" spans="1:13" s="88" customFormat="1" ht="16.5" customHeight="1">
      <c r="A4" s="496" t="s">
        <v>5786</v>
      </c>
      <c r="B4" s="496"/>
      <c r="C4" s="497" t="s">
        <v>598</v>
      </c>
      <c r="D4" s="497"/>
      <c r="E4" s="497"/>
      <c r="F4" s="497"/>
      <c r="G4" s="497"/>
      <c r="H4" s="497"/>
      <c r="I4" s="497"/>
      <c r="J4" s="497"/>
      <c r="K4" s="497"/>
      <c r="L4" s="497"/>
      <c r="M4" s="497"/>
    </row>
    <row r="5" spans="1:13" s="88" customFormat="1" ht="16.5" customHeight="1">
      <c r="A5" s="496" t="s">
        <v>1220</v>
      </c>
      <c r="B5" s="496"/>
      <c r="C5" s="493" t="s">
        <v>4766</v>
      </c>
      <c r="D5" s="493"/>
      <c r="E5" s="493"/>
      <c r="F5" s="493"/>
      <c r="G5" s="493"/>
      <c r="H5" s="493"/>
      <c r="I5" s="493"/>
      <c r="J5" s="493"/>
      <c r="K5" s="493"/>
      <c r="L5" s="493"/>
      <c r="M5" s="493"/>
    </row>
    <row r="6" spans="1:13" s="88" customFormat="1" ht="16.5" customHeight="1">
      <c r="A6" s="496" t="s">
        <v>5785</v>
      </c>
      <c r="B6" s="496"/>
      <c r="C6" s="493" t="s">
        <v>4767</v>
      </c>
      <c r="D6" s="493"/>
      <c r="E6" s="493"/>
      <c r="F6" s="493"/>
      <c r="G6" s="493"/>
      <c r="H6" s="493"/>
      <c r="I6" s="493"/>
      <c r="J6" s="493"/>
      <c r="K6" s="493"/>
      <c r="L6" s="493"/>
      <c r="M6" s="493"/>
    </row>
    <row r="7" spans="1:13" s="88" customFormat="1" ht="16.5" customHeight="1">
      <c r="A7" s="89" t="s">
        <v>1223</v>
      </c>
      <c r="B7" s="92" t="s">
        <v>4609</v>
      </c>
      <c r="C7" s="493" t="s">
        <v>4726</v>
      </c>
      <c r="D7" s="493"/>
      <c r="E7" s="493"/>
      <c r="F7" s="493"/>
      <c r="G7" s="493"/>
      <c r="H7" s="493"/>
      <c r="I7" s="493"/>
      <c r="J7" s="493"/>
      <c r="K7" s="493"/>
      <c r="L7" s="493"/>
      <c r="M7" s="493"/>
    </row>
    <row r="8" spans="1:13" s="88" customFormat="1" ht="16.5" customHeight="1">
      <c r="A8" s="89"/>
      <c r="B8" s="92" t="s">
        <v>4611</v>
      </c>
      <c r="C8" s="493" t="s">
        <v>4612</v>
      </c>
      <c r="D8" s="493"/>
      <c r="E8" s="493"/>
      <c r="F8" s="493"/>
      <c r="G8" s="493"/>
      <c r="H8" s="493"/>
      <c r="I8" s="493"/>
      <c r="J8" s="493"/>
      <c r="K8" s="493"/>
      <c r="L8" s="493"/>
      <c r="M8" s="493"/>
    </row>
    <row r="9" spans="1:13" s="88" customFormat="1" ht="16.5" customHeight="1">
      <c r="A9" s="89"/>
      <c r="B9" s="90" t="s">
        <v>4614</v>
      </c>
      <c r="C9" s="493" t="s">
        <v>4615</v>
      </c>
      <c r="D9" s="493"/>
      <c r="E9" s="493"/>
      <c r="F9" s="493"/>
      <c r="G9" s="493"/>
      <c r="H9" s="493"/>
      <c r="I9" s="493"/>
      <c r="J9" s="493"/>
      <c r="K9" s="493"/>
      <c r="L9" s="493"/>
      <c r="M9" s="493"/>
    </row>
    <row r="10" spans="1:13" s="88" customFormat="1" ht="16.5" customHeight="1">
      <c r="A10" s="89"/>
      <c r="B10" s="92" t="s">
        <v>4616</v>
      </c>
      <c r="C10" s="493" t="s">
        <v>4617</v>
      </c>
      <c r="D10" s="493"/>
      <c r="E10" s="493"/>
      <c r="F10" s="493"/>
      <c r="G10" s="493"/>
      <c r="H10" s="493"/>
      <c r="I10" s="493"/>
      <c r="J10" s="493"/>
      <c r="K10" s="493"/>
      <c r="L10" s="493"/>
      <c r="M10" s="493"/>
    </row>
    <row r="11" spans="1:13" s="88" customFormat="1" ht="16.5" customHeight="1">
      <c r="A11" s="89"/>
      <c r="B11" s="90" t="s">
        <v>4620</v>
      </c>
      <c r="C11" s="493" t="s">
        <v>4621</v>
      </c>
      <c r="D11" s="493"/>
      <c r="E11" s="493"/>
      <c r="F11" s="493"/>
      <c r="G11" s="493"/>
      <c r="H11" s="493"/>
      <c r="I11" s="493"/>
      <c r="J11" s="493"/>
      <c r="K11" s="493"/>
      <c r="L11" s="493"/>
      <c r="M11" s="493"/>
    </row>
    <row r="12" spans="1:13" s="88" customFormat="1" ht="24" customHeight="1">
      <c r="A12" s="89" t="s">
        <v>1228</v>
      </c>
      <c r="B12" s="493" t="s">
        <v>4622</v>
      </c>
      <c r="C12" s="493"/>
      <c r="D12" s="493"/>
      <c r="E12" s="493"/>
      <c r="F12" s="493"/>
      <c r="G12" s="493"/>
      <c r="H12" s="493"/>
      <c r="I12" s="493"/>
      <c r="J12" s="493"/>
      <c r="K12" s="493"/>
      <c r="L12" s="493"/>
      <c r="M12" s="493"/>
    </row>
    <row r="13" spans="1:13" ht="124.5" customHeight="1">
      <c r="A13" s="89" t="s">
        <v>1229</v>
      </c>
      <c r="B13" s="673" t="s">
        <v>4768</v>
      </c>
      <c r="C13" s="673"/>
      <c r="D13" s="673"/>
      <c r="E13" s="673"/>
      <c r="F13" s="673"/>
      <c r="G13" s="673"/>
      <c r="H13" s="673"/>
      <c r="I13" s="673"/>
      <c r="J13" s="673"/>
      <c r="K13" s="673"/>
      <c r="L13" s="673"/>
      <c r="M13" s="673"/>
    </row>
    <row r="14" spans="1:13" ht="21" customHeight="1">
      <c r="B14" s="494" t="s">
        <v>2863</v>
      </c>
      <c r="C14" s="494"/>
      <c r="D14" s="494"/>
      <c r="E14" s="494"/>
      <c r="F14" s="494"/>
      <c r="G14" s="494"/>
      <c r="H14" s="494"/>
      <c r="I14" s="494"/>
      <c r="J14" s="494"/>
      <c r="K14" s="494"/>
      <c r="L14" s="495"/>
    </row>
    <row r="15" spans="1:13" s="93" customFormat="1" ht="16.5" customHeight="1"/>
    <row r="16" spans="1:13" s="93" customFormat="1" ht="16.5" customHeight="1">
      <c r="A16" s="94" t="s">
        <v>1232</v>
      </c>
      <c r="B16" s="93" t="s">
        <v>1773</v>
      </c>
    </row>
    <row r="17" spans="1:48" s="93" customFormat="1" ht="16.5" customHeight="1">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t="s">
        <v>4769</v>
      </c>
      <c r="C18" s="93" t="s">
        <v>4624</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t="s">
        <v>4411</v>
      </c>
      <c r="C19" s="93" t="s">
        <v>4625</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v>1</v>
      </c>
      <c r="C20" s="93" t="s">
        <v>4626</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3">
        <v>2</v>
      </c>
      <c r="C21" s="93" t="s">
        <v>4627</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B22" s="93">
        <v>3</v>
      </c>
      <c r="C22" s="93" t="s">
        <v>4628</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B23" s="93">
        <v>4</v>
      </c>
      <c r="C23" s="93" t="s">
        <v>4629</v>
      </c>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A25" s="9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B26" s="518" t="s">
        <v>598</v>
      </c>
      <c r="C26" s="518"/>
      <c r="D26" s="518"/>
      <c r="E26" s="518"/>
      <c r="F26" s="518"/>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B27" s="94" t="s">
        <v>4631</v>
      </c>
      <c r="C27" s="94" t="s">
        <v>4770</v>
      </c>
      <c r="D27" s="94" t="s">
        <v>4633</v>
      </c>
      <c r="E27" s="94" t="s">
        <v>4634</v>
      </c>
      <c r="F27" s="94" t="s">
        <v>4635</v>
      </c>
      <c r="G27" s="104" t="s">
        <v>1238</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B28" s="148">
        <v>40622</v>
      </c>
      <c r="C28" s="148">
        <v>44275</v>
      </c>
      <c r="D28" s="93">
        <v>95</v>
      </c>
      <c r="E28" s="93">
        <v>100</v>
      </c>
      <c r="F28" s="163">
        <f>YIELDDISC(B28,C28,D28,E28,1)</f>
        <v>5.2627649555913271E-3</v>
      </c>
      <c r="G28" s="108" t="s">
        <v>4771</v>
      </c>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A35" s="9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s="93" customFormat="1" ht="16.5" customHeight="1">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row>
    <row r="49" spans="1:48" s="93" customFormat="1" ht="16.5" customHeight="1">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48">
      <c r="A50" s="93"/>
      <c r="B50" s="93"/>
      <c r="C50" s="93"/>
      <c r="D50" s="93"/>
      <c r="F50" s="93"/>
      <c r="G50" s="93"/>
      <c r="H50" s="93"/>
      <c r="I50" s="93"/>
      <c r="J50" s="93"/>
      <c r="K50" s="93"/>
      <c r="L50" s="93"/>
      <c r="M50" s="93"/>
    </row>
    <row r="51" spans="1:48">
      <c r="F51" s="93"/>
    </row>
    <row r="52" spans="1:48">
      <c r="F52" s="93"/>
    </row>
    <row r="53" spans="1:48">
      <c r="F53" s="93"/>
    </row>
    <row r="54" spans="1:48">
      <c r="F54" s="93"/>
    </row>
    <row r="55" spans="1:48">
      <c r="F55" s="93"/>
    </row>
    <row r="56" spans="1:48">
      <c r="F56" s="93"/>
    </row>
    <row r="57" spans="1:48">
      <c r="F57" s="93"/>
    </row>
    <row r="58" spans="1:48">
      <c r="F58" s="93"/>
    </row>
    <row r="100" spans="1:13" s="88" customFormat="1" ht="26.25" customHeight="1">
      <c r="A100" s="498" t="s">
        <v>599</v>
      </c>
      <c r="B100" s="498"/>
      <c r="C100" s="499"/>
      <c r="D100" s="87"/>
      <c r="E100" s="500" t="str">
        <f>HYPERLINK("#目录!A393","跳转回到目录页")</f>
        <v>跳转回到目录页</v>
      </c>
      <c r="F100" s="501"/>
    </row>
    <row r="101" spans="1:13" s="88" customFormat="1" ht="26.25" customHeight="1">
      <c r="A101" s="502" t="s">
        <v>1216</v>
      </c>
      <c r="B101" s="502"/>
      <c r="C101" s="503" t="s">
        <v>598</v>
      </c>
      <c r="D101" s="503"/>
      <c r="E101" s="503"/>
      <c r="F101" s="503"/>
      <c r="G101" s="503"/>
      <c r="H101" s="503"/>
      <c r="I101" s="503"/>
      <c r="J101" s="503"/>
      <c r="K101" s="503"/>
      <c r="L101" s="503"/>
      <c r="M101" s="503"/>
    </row>
    <row r="102" spans="1:13" s="88" customFormat="1" ht="16.5" customHeight="1">
      <c r="A102" s="496" t="s">
        <v>1217</v>
      </c>
      <c r="B102" s="496"/>
      <c r="C102" s="493" t="s">
        <v>4772</v>
      </c>
      <c r="D102" s="493"/>
      <c r="E102" s="493"/>
      <c r="F102" s="493"/>
      <c r="G102" s="493"/>
      <c r="H102" s="493"/>
      <c r="I102" s="493"/>
      <c r="J102" s="493"/>
      <c r="K102" s="493"/>
      <c r="L102" s="493"/>
      <c r="M102" s="493"/>
    </row>
    <row r="103" spans="1:13" s="88" customFormat="1" ht="16.5" customHeight="1">
      <c r="A103" s="496" t="s">
        <v>5786</v>
      </c>
      <c r="B103" s="496"/>
      <c r="C103" s="497" t="s">
        <v>598</v>
      </c>
      <c r="D103" s="497"/>
      <c r="E103" s="497"/>
      <c r="F103" s="497"/>
      <c r="G103" s="497"/>
      <c r="H103" s="497"/>
      <c r="I103" s="497"/>
      <c r="J103" s="497"/>
      <c r="K103" s="497"/>
      <c r="L103" s="497"/>
      <c r="M103" s="497"/>
    </row>
    <row r="104" spans="1:13" s="88" customFormat="1" ht="16.5" customHeight="1">
      <c r="A104" s="496" t="s">
        <v>1220</v>
      </c>
      <c r="B104" s="496"/>
      <c r="C104" s="493" t="s">
        <v>4773</v>
      </c>
      <c r="D104" s="493"/>
      <c r="E104" s="493"/>
      <c r="F104" s="493"/>
      <c r="G104" s="493"/>
      <c r="H104" s="493"/>
      <c r="I104" s="493"/>
      <c r="J104" s="493"/>
      <c r="K104" s="493"/>
      <c r="L104" s="493"/>
      <c r="M104" s="493"/>
    </row>
    <row r="105" spans="1:13" s="88" customFormat="1" ht="16.5" customHeight="1">
      <c r="A105" s="496" t="s">
        <v>5785</v>
      </c>
      <c r="B105" s="496"/>
      <c r="C105" s="493" t="s">
        <v>4774</v>
      </c>
      <c r="D105" s="493"/>
      <c r="E105" s="493"/>
      <c r="F105" s="493"/>
      <c r="G105" s="493"/>
      <c r="H105" s="493"/>
      <c r="I105" s="493"/>
      <c r="J105" s="493"/>
      <c r="K105" s="493"/>
      <c r="L105" s="493"/>
      <c r="M105" s="493"/>
    </row>
    <row r="106" spans="1:13" s="88" customFormat="1" ht="16.5" customHeight="1">
      <c r="A106" s="89" t="s">
        <v>1223</v>
      </c>
      <c r="B106" s="92" t="s">
        <v>4609</v>
      </c>
      <c r="C106" s="493" t="s">
        <v>4610</v>
      </c>
      <c r="D106" s="493"/>
      <c r="E106" s="493"/>
      <c r="F106" s="493"/>
      <c r="G106" s="493"/>
      <c r="H106" s="493"/>
      <c r="I106" s="493"/>
      <c r="J106" s="493"/>
      <c r="K106" s="493"/>
      <c r="L106" s="493"/>
      <c r="M106" s="493"/>
    </row>
    <row r="107" spans="1:13" s="88" customFormat="1" ht="16.5" customHeight="1">
      <c r="A107" s="89"/>
      <c r="B107" s="92" t="s">
        <v>4611</v>
      </c>
      <c r="C107" s="493" t="s">
        <v>4612</v>
      </c>
      <c r="D107" s="493"/>
      <c r="E107" s="493"/>
      <c r="F107" s="493"/>
      <c r="G107" s="493"/>
      <c r="H107" s="493"/>
      <c r="I107" s="493"/>
      <c r="J107" s="493"/>
      <c r="K107" s="493"/>
      <c r="L107" s="493"/>
      <c r="M107" s="493"/>
    </row>
    <row r="108" spans="1:13" s="88" customFormat="1" ht="16.5" customHeight="1">
      <c r="A108" s="89"/>
      <c r="B108" s="90" t="s">
        <v>4775</v>
      </c>
      <c r="C108" s="493" t="s">
        <v>4776</v>
      </c>
      <c r="D108" s="493"/>
      <c r="E108" s="493"/>
      <c r="F108" s="493"/>
      <c r="G108" s="493"/>
      <c r="H108" s="493"/>
      <c r="I108" s="493"/>
      <c r="J108" s="493"/>
      <c r="K108" s="493"/>
      <c r="L108" s="493"/>
      <c r="M108" s="493"/>
    </row>
    <row r="109" spans="1:13" s="88" customFormat="1" ht="16.5" customHeight="1">
      <c r="A109" s="89"/>
      <c r="B109" s="92" t="s">
        <v>4616</v>
      </c>
      <c r="C109" s="493" t="s">
        <v>4777</v>
      </c>
      <c r="D109" s="493"/>
      <c r="E109" s="493"/>
      <c r="F109" s="493"/>
      <c r="G109" s="493"/>
      <c r="H109" s="493"/>
      <c r="I109" s="493"/>
      <c r="J109" s="493"/>
      <c r="K109" s="493"/>
      <c r="L109" s="493"/>
      <c r="M109" s="493"/>
    </row>
    <row r="110" spans="1:13" s="88" customFormat="1" ht="16.5" customHeight="1">
      <c r="A110" s="89"/>
      <c r="B110" s="90" t="s">
        <v>4620</v>
      </c>
      <c r="C110" s="493" t="s">
        <v>4621</v>
      </c>
      <c r="D110" s="493"/>
      <c r="E110" s="493"/>
      <c r="F110" s="493"/>
      <c r="G110" s="493"/>
      <c r="H110" s="493"/>
      <c r="I110" s="493"/>
      <c r="J110" s="493"/>
      <c r="K110" s="493"/>
      <c r="L110" s="493"/>
      <c r="M110" s="493"/>
    </row>
    <row r="111" spans="1:13" s="88" customFormat="1" ht="24.75" customHeight="1">
      <c r="A111" s="89" t="s">
        <v>1228</v>
      </c>
      <c r="B111" s="493" t="s">
        <v>4622</v>
      </c>
      <c r="C111" s="493"/>
      <c r="D111" s="493"/>
      <c r="E111" s="493"/>
      <c r="F111" s="493"/>
      <c r="G111" s="493"/>
      <c r="H111" s="493"/>
      <c r="I111" s="493"/>
      <c r="J111" s="493"/>
      <c r="K111" s="493"/>
      <c r="L111" s="493"/>
      <c r="M111" s="493"/>
    </row>
    <row r="112" spans="1:13" ht="129.75" customHeight="1">
      <c r="A112" s="89" t="s">
        <v>1229</v>
      </c>
      <c r="B112" s="673" t="s">
        <v>4778</v>
      </c>
      <c r="C112" s="673"/>
      <c r="D112" s="673"/>
      <c r="E112" s="673"/>
      <c r="F112" s="673"/>
      <c r="G112" s="673"/>
      <c r="H112" s="673"/>
      <c r="I112" s="673"/>
      <c r="J112" s="673"/>
      <c r="K112" s="673"/>
      <c r="L112" s="673"/>
      <c r="M112" s="673"/>
    </row>
    <row r="113" spans="1:12" ht="21" customHeight="1">
      <c r="B113" s="494" t="s">
        <v>2863</v>
      </c>
      <c r="C113" s="494"/>
      <c r="D113" s="494"/>
      <c r="E113" s="494"/>
      <c r="F113" s="494"/>
      <c r="G113" s="494"/>
      <c r="H113" s="494"/>
      <c r="I113" s="494"/>
      <c r="J113" s="494"/>
      <c r="K113" s="494"/>
      <c r="L113" s="495"/>
    </row>
    <row r="114" spans="1:12" s="93" customFormat="1" ht="16.5" customHeight="1"/>
    <row r="115" spans="1:12" s="93" customFormat="1" ht="16.5" customHeight="1">
      <c r="A115" s="94" t="s">
        <v>1232</v>
      </c>
      <c r="B115" s="93" t="s">
        <v>1773</v>
      </c>
    </row>
    <row r="116" spans="1:12" ht="16.5" customHeight="1">
      <c r="E116" s="93"/>
      <c r="F116" s="93"/>
    </row>
    <row r="117" spans="1:12" ht="16.5" customHeight="1">
      <c r="B117" s="93" t="s">
        <v>4769</v>
      </c>
      <c r="C117" s="93" t="s">
        <v>4624</v>
      </c>
      <c r="E117" s="93"/>
      <c r="F117" s="93"/>
    </row>
    <row r="118" spans="1:12" ht="16.5" customHeight="1">
      <c r="B118" s="93" t="s">
        <v>4411</v>
      </c>
      <c r="C118" s="93" t="s">
        <v>4625</v>
      </c>
      <c r="E118" s="93"/>
      <c r="F118" s="93"/>
    </row>
    <row r="119" spans="1:12" ht="16.5" customHeight="1">
      <c r="B119" s="93">
        <v>1</v>
      </c>
      <c r="C119" s="93" t="s">
        <v>4626</v>
      </c>
      <c r="E119" s="93"/>
    </row>
    <row r="120" spans="1:12" ht="16.5" customHeight="1">
      <c r="B120" s="93">
        <v>2</v>
      </c>
      <c r="C120" s="93" t="s">
        <v>4627</v>
      </c>
      <c r="E120" s="93"/>
    </row>
    <row r="121" spans="1:12" ht="16.5" customHeight="1">
      <c r="B121" s="93">
        <v>3</v>
      </c>
      <c r="C121" s="93" t="s">
        <v>4628</v>
      </c>
      <c r="E121" s="93"/>
    </row>
    <row r="122" spans="1:12" ht="16.5" customHeight="1">
      <c r="B122" s="93">
        <v>4</v>
      </c>
      <c r="C122" s="93" t="s">
        <v>4629</v>
      </c>
    </row>
    <row r="123" spans="1:12" ht="16.5" customHeight="1"/>
    <row r="124" spans="1:12" ht="16.5" customHeight="1"/>
    <row r="125" spans="1:12" ht="16.5" customHeight="1">
      <c r="B125" s="518" t="s">
        <v>598</v>
      </c>
      <c r="C125" s="518"/>
      <c r="D125" s="518"/>
      <c r="E125" s="518"/>
      <c r="F125" s="518"/>
      <c r="G125" s="93"/>
    </row>
    <row r="126" spans="1:12" ht="16.5" customHeight="1">
      <c r="B126" s="94" t="s">
        <v>4631</v>
      </c>
      <c r="C126" s="94" t="s">
        <v>4770</v>
      </c>
      <c r="D126" s="94" t="s">
        <v>4779</v>
      </c>
      <c r="E126" s="94" t="s">
        <v>4634</v>
      </c>
      <c r="F126" s="94" t="s">
        <v>4635</v>
      </c>
      <c r="G126" s="104" t="s">
        <v>1238</v>
      </c>
    </row>
    <row r="127" spans="1:12" ht="16.5" customHeight="1">
      <c r="B127" s="148">
        <v>40622</v>
      </c>
      <c r="C127" s="148">
        <v>44275</v>
      </c>
      <c r="D127" s="93">
        <v>95</v>
      </c>
      <c r="E127" s="93">
        <v>100</v>
      </c>
      <c r="F127" s="163">
        <f>INTRATE(B127,C127,D127,E127,1)</f>
        <v>5.2627649555913271E-3</v>
      </c>
      <c r="G127" s="108" t="s">
        <v>4780</v>
      </c>
    </row>
    <row r="128" spans="1:12" ht="16.5" customHeight="1">
      <c r="E128" s="93"/>
      <c r="F128" s="93"/>
    </row>
    <row r="135" spans="5:6">
      <c r="E135" s="93"/>
      <c r="F135" s="93"/>
    </row>
    <row r="136" spans="5:6">
      <c r="E136" s="93"/>
      <c r="F136" s="93"/>
    </row>
    <row r="137" spans="5:6">
      <c r="E137" s="93"/>
      <c r="F137" s="93"/>
    </row>
    <row r="148" spans="5:6">
      <c r="F148" s="93"/>
    </row>
    <row r="149" spans="5:6">
      <c r="F149" s="93"/>
    </row>
    <row r="150" spans="5:6">
      <c r="F150" s="93"/>
    </row>
    <row r="151" spans="5:6">
      <c r="F151" s="93"/>
    </row>
    <row r="152" spans="5:6">
      <c r="F152" s="93"/>
    </row>
    <row r="153" spans="5:6">
      <c r="F153" s="93"/>
    </row>
    <row r="154" spans="5:6">
      <c r="F154" s="93"/>
    </row>
    <row r="155" spans="5:6">
      <c r="F155" s="93"/>
    </row>
    <row r="156" spans="5:6">
      <c r="F156" s="93"/>
    </row>
    <row r="157" spans="5:6">
      <c r="F157" s="93"/>
    </row>
    <row r="158" spans="5:6">
      <c r="E158" s="93"/>
      <c r="F158" s="93"/>
    </row>
    <row r="159" spans="5:6">
      <c r="E159" s="93"/>
      <c r="F159" s="93"/>
    </row>
    <row r="160" spans="5:6">
      <c r="E160" s="93"/>
      <c r="F160" s="93"/>
    </row>
    <row r="161" spans="5:6">
      <c r="E161" s="93"/>
      <c r="F161" s="93"/>
    </row>
    <row r="162" spans="5:6">
      <c r="E162" s="93"/>
      <c r="F162" s="93"/>
    </row>
    <row r="163" spans="5:6">
      <c r="E163" s="93"/>
      <c r="F163" s="93"/>
    </row>
    <row r="164" spans="5:6">
      <c r="E164" s="93"/>
      <c r="F164" s="93"/>
    </row>
    <row r="165" spans="5:6">
      <c r="E165" s="93"/>
      <c r="F165" s="93"/>
    </row>
    <row r="166" spans="5:6">
      <c r="E166" s="93"/>
      <c r="F166" s="93"/>
    </row>
    <row r="200" spans="1:13" s="88" customFormat="1" ht="26.25" customHeight="1">
      <c r="A200" s="498" t="s">
        <v>1102</v>
      </c>
      <c r="B200" s="498"/>
      <c r="C200" s="499"/>
      <c r="D200" s="87"/>
      <c r="E200" s="500" t="str">
        <f>HYPERLINK("#目录!A394","跳转回到目录页")</f>
        <v>跳转回到目录页</v>
      </c>
      <c r="F200" s="501"/>
    </row>
    <row r="201" spans="1:13" s="88" customFormat="1" ht="26.25" customHeight="1">
      <c r="A201" s="502" t="s">
        <v>1216</v>
      </c>
      <c r="B201" s="502"/>
      <c r="C201" s="503" t="s">
        <v>600</v>
      </c>
      <c r="D201" s="503"/>
      <c r="E201" s="503"/>
      <c r="F201" s="503"/>
      <c r="G201" s="503"/>
      <c r="H201" s="503"/>
      <c r="I201" s="503"/>
      <c r="J201" s="503"/>
      <c r="K201" s="503"/>
      <c r="L201" s="503"/>
      <c r="M201" s="503"/>
    </row>
    <row r="202" spans="1:13" s="88" customFormat="1" ht="16.5" customHeight="1">
      <c r="A202" s="496" t="s">
        <v>1217</v>
      </c>
      <c r="B202" s="496"/>
      <c r="C202" s="493" t="s">
        <v>4781</v>
      </c>
      <c r="D202" s="493"/>
      <c r="E202" s="493"/>
      <c r="F202" s="493"/>
      <c r="G202" s="493"/>
      <c r="H202" s="493"/>
      <c r="I202" s="493"/>
      <c r="J202" s="493"/>
      <c r="K202" s="493"/>
      <c r="L202" s="493"/>
      <c r="M202" s="493"/>
    </row>
    <row r="203" spans="1:13" s="88" customFormat="1" ht="16.5" customHeight="1">
      <c r="A203" s="496" t="s">
        <v>5786</v>
      </c>
      <c r="B203" s="496"/>
      <c r="C203" s="497" t="s">
        <v>600</v>
      </c>
      <c r="D203" s="497"/>
      <c r="E203" s="497"/>
      <c r="F203" s="497"/>
      <c r="G203" s="497"/>
      <c r="H203" s="497"/>
      <c r="I203" s="497"/>
      <c r="J203" s="497"/>
      <c r="K203" s="497"/>
      <c r="L203" s="497"/>
      <c r="M203" s="497"/>
    </row>
    <row r="204" spans="1:13" s="88" customFormat="1" ht="16.5" customHeight="1">
      <c r="A204" s="496" t="s">
        <v>1220</v>
      </c>
      <c r="B204" s="496"/>
      <c r="C204" s="493" t="s">
        <v>4782</v>
      </c>
      <c r="D204" s="493"/>
      <c r="E204" s="493"/>
      <c r="F204" s="493"/>
      <c r="G204" s="493"/>
      <c r="H204" s="493"/>
      <c r="I204" s="493"/>
      <c r="J204" s="493"/>
      <c r="K204" s="493"/>
      <c r="L204" s="493"/>
      <c r="M204" s="493"/>
    </row>
    <row r="205" spans="1:13" s="88" customFormat="1" ht="16.5" customHeight="1">
      <c r="A205" s="496" t="s">
        <v>5785</v>
      </c>
      <c r="B205" s="496"/>
      <c r="C205" s="493" t="s">
        <v>4783</v>
      </c>
      <c r="D205" s="493"/>
      <c r="E205" s="493"/>
      <c r="F205" s="493"/>
      <c r="G205" s="493"/>
      <c r="H205" s="493"/>
      <c r="I205" s="493"/>
      <c r="J205" s="493"/>
      <c r="K205" s="493"/>
      <c r="L205" s="493"/>
      <c r="M205" s="493"/>
    </row>
    <row r="206" spans="1:13" s="88" customFormat="1" ht="16.5" customHeight="1">
      <c r="A206" s="89" t="s">
        <v>1223</v>
      </c>
      <c r="B206" s="92" t="s">
        <v>4609</v>
      </c>
      <c r="C206" s="493" t="s">
        <v>4726</v>
      </c>
      <c r="D206" s="493"/>
      <c r="E206" s="493"/>
      <c r="F206" s="493"/>
      <c r="G206" s="493"/>
      <c r="H206" s="493"/>
      <c r="I206" s="493"/>
      <c r="J206" s="493"/>
      <c r="K206" s="493"/>
      <c r="L206" s="493"/>
      <c r="M206" s="493"/>
    </row>
    <row r="207" spans="1:13" s="88" customFormat="1" ht="16.5" customHeight="1">
      <c r="A207" s="89"/>
      <c r="B207" s="92" t="s">
        <v>4611</v>
      </c>
      <c r="C207" s="493" t="s">
        <v>4612</v>
      </c>
      <c r="D207" s="493"/>
      <c r="E207" s="493"/>
      <c r="F207" s="493"/>
      <c r="G207" s="493"/>
      <c r="H207" s="493"/>
      <c r="I207" s="493"/>
      <c r="J207" s="493"/>
      <c r="K207" s="493"/>
      <c r="L207" s="493"/>
      <c r="M207" s="493"/>
    </row>
    <row r="208" spans="1:13" s="88" customFormat="1" ht="16.5" customHeight="1">
      <c r="A208" s="89"/>
      <c r="B208" s="90" t="s">
        <v>4775</v>
      </c>
      <c r="C208" s="493" t="s">
        <v>4776</v>
      </c>
      <c r="D208" s="493"/>
      <c r="E208" s="493"/>
      <c r="F208" s="493"/>
      <c r="G208" s="493"/>
      <c r="H208" s="493"/>
      <c r="I208" s="493"/>
      <c r="J208" s="493"/>
      <c r="K208" s="493"/>
      <c r="L208" s="493"/>
      <c r="M208" s="493"/>
    </row>
    <row r="209" spans="1:13" s="88" customFormat="1" ht="16.5" customHeight="1">
      <c r="A209" s="89"/>
      <c r="B209" s="92" t="s">
        <v>4784</v>
      </c>
      <c r="C209" s="493" t="s">
        <v>4785</v>
      </c>
      <c r="D209" s="493"/>
      <c r="E209" s="493"/>
      <c r="F209" s="493"/>
      <c r="G209" s="493"/>
      <c r="H209" s="493"/>
      <c r="I209" s="493"/>
      <c r="J209" s="493"/>
      <c r="K209" s="493"/>
      <c r="L209" s="493"/>
      <c r="M209" s="493"/>
    </row>
    <row r="210" spans="1:13" s="88" customFormat="1" ht="16.5" customHeight="1">
      <c r="A210" s="89"/>
      <c r="B210" s="90" t="s">
        <v>4620</v>
      </c>
      <c r="C210" s="493" t="s">
        <v>4621</v>
      </c>
      <c r="D210" s="493"/>
      <c r="E210" s="493"/>
      <c r="F210" s="493"/>
      <c r="G210" s="493"/>
      <c r="H210" s="493"/>
      <c r="I210" s="493"/>
      <c r="J210" s="493"/>
      <c r="K210" s="493"/>
      <c r="L210" s="493"/>
      <c r="M210" s="493"/>
    </row>
    <row r="211" spans="1:13" s="88" customFormat="1" ht="24.75" customHeight="1">
      <c r="A211" s="89" t="s">
        <v>1228</v>
      </c>
      <c r="B211" s="493" t="s">
        <v>4786</v>
      </c>
      <c r="C211" s="493"/>
      <c r="D211" s="493"/>
      <c r="E211" s="493"/>
      <c r="F211" s="493"/>
      <c r="G211" s="493"/>
      <c r="H211" s="493"/>
      <c r="I211" s="493"/>
      <c r="J211" s="493"/>
      <c r="K211" s="493"/>
      <c r="L211" s="493"/>
      <c r="M211" s="493"/>
    </row>
    <row r="212" spans="1:13" ht="123" customHeight="1">
      <c r="A212" s="89" t="s">
        <v>1229</v>
      </c>
      <c r="B212" s="673" t="s">
        <v>4787</v>
      </c>
      <c r="C212" s="673"/>
      <c r="D212" s="673"/>
      <c r="E212" s="673"/>
      <c r="F212" s="673"/>
      <c r="G212" s="673"/>
      <c r="H212" s="673"/>
      <c r="I212" s="673"/>
      <c r="J212" s="673"/>
      <c r="K212" s="673"/>
      <c r="L212" s="673"/>
      <c r="M212" s="673"/>
    </row>
    <row r="213" spans="1:13" ht="21" customHeight="1">
      <c r="B213" s="494" t="s">
        <v>2863</v>
      </c>
      <c r="C213" s="494"/>
      <c r="D213" s="494"/>
      <c r="E213" s="494"/>
      <c r="F213" s="494"/>
      <c r="G213" s="494"/>
      <c r="H213" s="494"/>
      <c r="I213" s="494"/>
      <c r="J213" s="494"/>
      <c r="K213" s="494"/>
      <c r="L213" s="495"/>
    </row>
    <row r="214" spans="1:13" s="93" customFormat="1" ht="16.5" customHeight="1"/>
    <row r="215" spans="1:13" s="93" customFormat="1" ht="16.5" customHeight="1">
      <c r="A215" s="94" t="s">
        <v>1232</v>
      </c>
      <c r="B215" s="93" t="s">
        <v>1773</v>
      </c>
    </row>
    <row r="216" spans="1:13" ht="16.5" customHeight="1">
      <c r="E216" s="93"/>
      <c r="F216" s="93"/>
    </row>
    <row r="217" spans="1:13" ht="16.5" customHeight="1">
      <c r="B217" s="93" t="s">
        <v>4769</v>
      </c>
      <c r="C217" s="93" t="s">
        <v>4624</v>
      </c>
      <c r="E217" s="93"/>
      <c r="F217" s="93"/>
    </row>
    <row r="218" spans="1:13" ht="16.5" customHeight="1">
      <c r="B218" s="93" t="s">
        <v>4411</v>
      </c>
      <c r="C218" s="93" t="s">
        <v>4625</v>
      </c>
      <c r="E218" s="93"/>
      <c r="F218" s="93"/>
    </row>
    <row r="219" spans="1:13" ht="16.5" customHeight="1">
      <c r="B219" s="93">
        <v>1</v>
      </c>
      <c r="C219" s="93" t="s">
        <v>4626</v>
      </c>
      <c r="E219" s="93"/>
      <c r="F219" s="93"/>
    </row>
    <row r="220" spans="1:13" ht="16.5" customHeight="1">
      <c r="B220" s="93">
        <v>2</v>
      </c>
      <c r="C220" s="93" t="s">
        <v>4627</v>
      </c>
      <c r="E220" s="93"/>
      <c r="F220" s="93"/>
    </row>
    <row r="221" spans="1:13" ht="16.5" customHeight="1">
      <c r="B221" s="93">
        <v>3</v>
      </c>
      <c r="C221" s="93" t="s">
        <v>4628</v>
      </c>
      <c r="E221" s="93"/>
      <c r="F221" s="93"/>
    </row>
    <row r="222" spans="1:13" ht="16.5" customHeight="1">
      <c r="B222" s="93">
        <v>4</v>
      </c>
      <c r="C222" s="93" t="s">
        <v>4629</v>
      </c>
      <c r="E222" s="93"/>
      <c r="F222" s="93"/>
    </row>
    <row r="223" spans="1:13" ht="16.5" customHeight="1">
      <c r="E223" s="93"/>
      <c r="F223" s="93"/>
    </row>
    <row r="224" spans="1:13" ht="16.5" customHeight="1">
      <c r="B224" s="93"/>
      <c r="C224" s="93"/>
      <c r="D224" s="93"/>
      <c r="E224" s="93"/>
      <c r="F224" s="93"/>
      <c r="G224" s="93"/>
      <c r="H224" s="93"/>
      <c r="I224" s="93"/>
      <c r="J224" s="93"/>
      <c r="K224" s="93"/>
      <c r="L224" s="93"/>
    </row>
    <row r="225" spans="2:12" ht="16.5" customHeight="1">
      <c r="B225" s="518" t="s">
        <v>600</v>
      </c>
      <c r="C225" s="518"/>
      <c r="D225" s="518"/>
      <c r="E225" s="518"/>
      <c r="F225" s="518"/>
      <c r="G225" s="93"/>
      <c r="H225" s="93"/>
      <c r="I225" s="93"/>
      <c r="J225" s="93"/>
      <c r="K225" s="93"/>
      <c r="L225" s="93"/>
    </row>
    <row r="226" spans="2:12" ht="16.5" customHeight="1">
      <c r="B226" s="94" t="s">
        <v>4631</v>
      </c>
      <c r="C226" s="94" t="s">
        <v>4632</v>
      </c>
      <c r="D226" s="94" t="s">
        <v>4633</v>
      </c>
      <c r="E226" s="94" t="s">
        <v>4788</v>
      </c>
      <c r="F226" s="94" t="s">
        <v>4789</v>
      </c>
      <c r="G226" s="104" t="s">
        <v>1238</v>
      </c>
      <c r="H226" s="93"/>
      <c r="I226" s="93"/>
      <c r="J226" s="93"/>
      <c r="K226" s="93"/>
      <c r="L226" s="93"/>
    </row>
    <row r="227" spans="2:12" ht="16.5" customHeight="1">
      <c r="B227" s="148">
        <v>40622</v>
      </c>
      <c r="C227" s="148">
        <v>44275</v>
      </c>
      <c r="D227" s="93">
        <v>95</v>
      </c>
      <c r="E227" s="162">
        <v>5.0000000000000001E-3</v>
      </c>
      <c r="F227" s="164">
        <f>RECEIVED(B227,C227,D227,E227,1)</f>
        <v>100.00039297002819</v>
      </c>
      <c r="G227" s="108" t="s">
        <v>4790</v>
      </c>
      <c r="H227" s="93"/>
      <c r="I227" s="93"/>
      <c r="J227" s="93"/>
      <c r="K227" s="93"/>
      <c r="L227" s="93"/>
    </row>
    <row r="228" spans="2:12" ht="16.5" customHeight="1">
      <c r="B228" s="93"/>
      <c r="C228" s="93"/>
      <c r="D228" s="93"/>
      <c r="E228" s="93"/>
      <c r="F228" s="93"/>
      <c r="G228" s="93"/>
      <c r="H228" s="93"/>
      <c r="I228" s="93"/>
      <c r="J228" s="93"/>
      <c r="K228" s="93"/>
      <c r="L228" s="93"/>
    </row>
    <row r="229" spans="2:12" ht="16.5" customHeight="1">
      <c r="B229" s="93"/>
      <c r="C229" s="93"/>
      <c r="D229" s="93"/>
      <c r="E229" s="93"/>
      <c r="F229" s="93"/>
      <c r="G229" s="93"/>
      <c r="H229" s="93"/>
      <c r="I229" s="93"/>
      <c r="J229" s="93"/>
      <c r="K229" s="93"/>
      <c r="L229" s="93"/>
    </row>
    <row r="230" spans="2:12" ht="16.5" customHeight="1">
      <c r="B230" s="93"/>
      <c r="C230" s="93"/>
      <c r="D230" s="93"/>
      <c r="E230" s="93"/>
      <c r="F230" s="93"/>
      <c r="G230" s="93"/>
      <c r="H230" s="93"/>
      <c r="I230" s="93"/>
      <c r="J230" s="93"/>
      <c r="K230" s="93"/>
      <c r="L230" s="93"/>
    </row>
    <row r="231" spans="2:12">
      <c r="B231" s="93"/>
      <c r="C231" s="93"/>
      <c r="D231" s="93"/>
      <c r="E231" s="93"/>
      <c r="F231" s="93"/>
      <c r="G231" s="93"/>
      <c r="H231" s="93"/>
      <c r="I231" s="93"/>
      <c r="J231" s="93"/>
      <c r="K231" s="93"/>
      <c r="L231" s="93"/>
    </row>
    <row r="232" spans="2:12">
      <c r="B232" s="93"/>
      <c r="C232" s="93"/>
      <c r="D232" s="93"/>
      <c r="E232" s="93"/>
      <c r="F232" s="93"/>
      <c r="G232" s="93"/>
      <c r="H232" s="93"/>
      <c r="I232" s="93"/>
      <c r="J232" s="93"/>
      <c r="K232" s="93"/>
      <c r="L232" s="93"/>
    </row>
    <row r="233" spans="2:12">
      <c r="B233" s="93"/>
      <c r="C233" s="93"/>
      <c r="D233" s="93"/>
      <c r="E233" s="93"/>
      <c r="F233" s="93"/>
      <c r="G233" s="93"/>
      <c r="H233" s="93"/>
      <c r="I233" s="93"/>
      <c r="J233" s="93"/>
      <c r="K233" s="93"/>
      <c r="L233" s="93"/>
    </row>
    <row r="234" spans="2:12">
      <c r="B234" s="93"/>
      <c r="C234" s="93"/>
      <c r="D234" s="93"/>
      <c r="E234" s="93"/>
      <c r="F234" s="93"/>
      <c r="G234" s="93"/>
      <c r="H234" s="93"/>
      <c r="I234" s="93"/>
      <c r="J234" s="93"/>
      <c r="K234" s="93"/>
      <c r="L234" s="93"/>
    </row>
    <row r="235" spans="2:12">
      <c r="B235" s="93"/>
      <c r="C235" s="93"/>
      <c r="D235" s="93"/>
      <c r="E235" s="93"/>
      <c r="F235" s="93"/>
      <c r="G235" s="93"/>
      <c r="H235" s="93"/>
      <c r="I235" s="93"/>
      <c r="J235" s="93"/>
      <c r="K235" s="93"/>
      <c r="L235" s="93"/>
    </row>
    <row r="236" spans="2:12">
      <c r="B236" s="93"/>
      <c r="C236" s="93"/>
      <c r="D236" s="93"/>
      <c r="E236" s="93"/>
      <c r="F236" s="93"/>
      <c r="G236" s="93"/>
      <c r="H236" s="93"/>
      <c r="I236" s="93"/>
      <c r="J236" s="93"/>
      <c r="K236" s="93"/>
      <c r="L236" s="93"/>
    </row>
    <row r="237" spans="2:12">
      <c r="B237" s="93"/>
      <c r="C237" s="93"/>
      <c r="D237" s="93"/>
      <c r="E237" s="93"/>
      <c r="F237" s="93"/>
      <c r="G237" s="93"/>
      <c r="H237" s="93"/>
      <c r="I237" s="93"/>
      <c r="J237" s="93"/>
      <c r="K237" s="93"/>
      <c r="L237" s="93"/>
    </row>
    <row r="238" spans="2:12">
      <c r="B238" s="93"/>
      <c r="C238" s="93"/>
      <c r="D238" s="93"/>
      <c r="E238" s="93"/>
      <c r="F238" s="93"/>
      <c r="G238" s="93"/>
      <c r="H238" s="93"/>
      <c r="I238" s="93"/>
      <c r="J238" s="93"/>
      <c r="K238" s="93"/>
      <c r="L238" s="93"/>
    </row>
    <row r="239" spans="2:12">
      <c r="B239" s="93"/>
      <c r="C239" s="93"/>
      <c r="D239" s="93"/>
      <c r="E239" s="93"/>
      <c r="F239" s="93"/>
      <c r="G239" s="93"/>
      <c r="H239" s="93"/>
      <c r="I239" s="93"/>
      <c r="J239" s="93"/>
      <c r="K239" s="93"/>
      <c r="L239" s="93"/>
    </row>
    <row r="240" spans="2:12">
      <c r="F240" s="93"/>
    </row>
    <row r="241" spans="6:6">
      <c r="F241" s="93"/>
    </row>
    <row r="242" spans="6:6">
      <c r="F242" s="93"/>
    </row>
    <row r="243" spans="6:6">
      <c r="F243" s="93"/>
    </row>
    <row r="244" spans="6:6">
      <c r="F244" s="93"/>
    </row>
    <row r="245" spans="6:6">
      <c r="F245" s="93"/>
    </row>
    <row r="246" spans="6:6">
      <c r="F246" s="93"/>
    </row>
    <row r="247" spans="6:6">
      <c r="F247" s="93"/>
    </row>
    <row r="248" spans="6:6">
      <c r="F248" s="93"/>
    </row>
    <row r="249" spans="6:6">
      <c r="F249" s="93"/>
    </row>
    <row r="250" spans="6:6">
      <c r="F250" s="93"/>
    </row>
    <row r="251" spans="6:6">
      <c r="F251" s="93"/>
    </row>
    <row r="252" spans="6:6">
      <c r="F252" s="93"/>
    </row>
    <row r="253" spans="6:6">
      <c r="F253" s="93"/>
    </row>
    <row r="254" spans="6:6">
      <c r="F254" s="93"/>
    </row>
    <row r="255" spans="6:6">
      <c r="F255" s="93"/>
    </row>
    <row r="256" spans="6:6">
      <c r="F256" s="93"/>
    </row>
    <row r="257" spans="6:6">
      <c r="F257" s="93"/>
    </row>
    <row r="300" spans="1:13" s="88" customFormat="1" ht="26.25" customHeight="1">
      <c r="A300" s="498" t="s">
        <v>1082</v>
      </c>
      <c r="B300" s="498"/>
      <c r="C300" s="499"/>
      <c r="D300" s="87"/>
      <c r="E300" s="500" t="str">
        <f>HYPERLINK("#目录!A395","跳转回到目录页")</f>
        <v>跳转回到目录页</v>
      </c>
      <c r="F300" s="501"/>
    </row>
    <row r="301" spans="1:13" s="88" customFormat="1" ht="26.25" customHeight="1">
      <c r="A301" s="502" t="s">
        <v>1216</v>
      </c>
      <c r="B301" s="502"/>
      <c r="C301" s="677" t="s">
        <v>601</v>
      </c>
      <c r="D301" s="677"/>
      <c r="E301" s="677"/>
      <c r="F301" s="677"/>
      <c r="G301" s="677"/>
      <c r="H301" s="677"/>
      <c r="I301" s="677"/>
      <c r="J301" s="677"/>
      <c r="K301" s="677"/>
      <c r="L301" s="677"/>
      <c r="M301" s="677"/>
    </row>
    <row r="302" spans="1:13" s="88" customFormat="1" ht="16.5" customHeight="1">
      <c r="A302" s="496" t="s">
        <v>1217</v>
      </c>
      <c r="B302" s="496"/>
      <c r="C302" s="493" t="s">
        <v>4791</v>
      </c>
      <c r="D302" s="493"/>
      <c r="E302" s="493"/>
      <c r="F302" s="493"/>
      <c r="G302" s="493"/>
      <c r="H302" s="493"/>
      <c r="I302" s="493"/>
      <c r="J302" s="493"/>
      <c r="K302" s="493"/>
      <c r="L302" s="493"/>
      <c r="M302" s="493"/>
    </row>
    <row r="303" spans="1:13" s="88" customFormat="1" ht="16.5" customHeight="1">
      <c r="A303" s="496" t="s">
        <v>5786</v>
      </c>
      <c r="B303" s="496"/>
      <c r="C303" s="497" t="s">
        <v>601</v>
      </c>
      <c r="D303" s="497"/>
      <c r="E303" s="497"/>
      <c r="F303" s="497"/>
      <c r="G303" s="497"/>
      <c r="H303" s="497"/>
      <c r="I303" s="497"/>
      <c r="J303" s="497"/>
      <c r="K303" s="497"/>
      <c r="L303" s="497"/>
      <c r="M303" s="497"/>
    </row>
    <row r="304" spans="1:13" s="88" customFormat="1" ht="16.5" customHeight="1">
      <c r="A304" s="496" t="s">
        <v>1220</v>
      </c>
      <c r="B304" s="496"/>
      <c r="C304" s="493" t="s">
        <v>4792</v>
      </c>
      <c r="D304" s="493"/>
      <c r="E304" s="493"/>
      <c r="F304" s="493"/>
      <c r="G304" s="493"/>
      <c r="H304" s="493"/>
      <c r="I304" s="493"/>
      <c r="J304" s="493"/>
      <c r="K304" s="493"/>
      <c r="L304" s="493"/>
      <c r="M304" s="493"/>
    </row>
    <row r="305" spans="1:13" s="88" customFormat="1" ht="16.5" customHeight="1">
      <c r="A305" s="496" t="s">
        <v>5785</v>
      </c>
      <c r="B305" s="496"/>
      <c r="C305" s="493" t="s">
        <v>4793</v>
      </c>
      <c r="D305" s="493"/>
      <c r="E305" s="493"/>
      <c r="F305" s="493"/>
      <c r="G305" s="493"/>
      <c r="H305" s="493"/>
      <c r="I305" s="493"/>
      <c r="J305" s="493"/>
      <c r="K305" s="493"/>
      <c r="L305" s="493"/>
      <c r="M305" s="493"/>
    </row>
    <row r="306" spans="1:13" s="88" customFormat="1" ht="16.5" customHeight="1">
      <c r="A306" s="89" t="s">
        <v>1223</v>
      </c>
      <c r="B306" s="92" t="s">
        <v>4609</v>
      </c>
      <c r="C306" s="493" t="s">
        <v>4610</v>
      </c>
      <c r="D306" s="493"/>
      <c r="E306" s="493"/>
      <c r="F306" s="493"/>
      <c r="G306" s="493"/>
      <c r="H306" s="493"/>
      <c r="I306" s="493"/>
      <c r="J306" s="493"/>
      <c r="K306" s="493"/>
      <c r="L306" s="493"/>
      <c r="M306" s="493"/>
    </row>
    <row r="307" spans="1:13" s="88" customFormat="1" ht="16.5" customHeight="1">
      <c r="A307" s="89"/>
      <c r="B307" s="92" t="s">
        <v>4611</v>
      </c>
      <c r="C307" s="493" t="s">
        <v>4612</v>
      </c>
      <c r="D307" s="493"/>
      <c r="E307" s="493"/>
      <c r="F307" s="493"/>
      <c r="G307" s="493"/>
      <c r="H307" s="493"/>
      <c r="I307" s="493"/>
      <c r="J307" s="493"/>
      <c r="K307" s="493"/>
      <c r="L307" s="493"/>
      <c r="M307" s="493"/>
    </row>
    <row r="308" spans="1:13" s="88" customFormat="1" ht="16.5" customHeight="1">
      <c r="A308" s="89"/>
      <c r="B308" s="90" t="s">
        <v>4784</v>
      </c>
      <c r="C308" s="493" t="s">
        <v>4785</v>
      </c>
      <c r="D308" s="493"/>
      <c r="E308" s="493"/>
      <c r="F308" s="493"/>
      <c r="G308" s="493"/>
      <c r="H308" s="493"/>
      <c r="I308" s="493"/>
      <c r="J308" s="493"/>
      <c r="K308" s="493"/>
      <c r="L308" s="493"/>
      <c r="M308" s="493"/>
    </row>
    <row r="309" spans="1:13" s="88" customFormat="1" ht="16.5" customHeight="1">
      <c r="A309" s="89"/>
      <c r="B309" s="92" t="s">
        <v>4616</v>
      </c>
      <c r="C309" s="493" t="s">
        <v>4617</v>
      </c>
      <c r="D309" s="493"/>
      <c r="E309" s="493"/>
      <c r="F309" s="493"/>
      <c r="G309" s="493"/>
      <c r="H309" s="493"/>
      <c r="I309" s="493"/>
      <c r="J309" s="493"/>
      <c r="K309" s="493"/>
      <c r="L309" s="493"/>
      <c r="M309" s="493"/>
    </row>
    <row r="310" spans="1:13" s="88" customFormat="1" ht="16.5" customHeight="1">
      <c r="A310" s="89"/>
      <c r="B310" s="90" t="s">
        <v>4620</v>
      </c>
      <c r="C310" s="493" t="s">
        <v>4621</v>
      </c>
      <c r="D310" s="493"/>
      <c r="E310" s="493"/>
      <c r="F310" s="493"/>
      <c r="G310" s="493"/>
      <c r="H310" s="493"/>
      <c r="I310" s="493"/>
      <c r="J310" s="493"/>
      <c r="K310" s="493"/>
      <c r="L310" s="493"/>
      <c r="M310" s="493"/>
    </row>
    <row r="311" spans="1:13" s="88" customFormat="1" ht="24.75" customHeight="1">
      <c r="A311" s="89" t="s">
        <v>1228</v>
      </c>
      <c r="B311" s="493" t="s">
        <v>4622</v>
      </c>
      <c r="C311" s="493"/>
      <c r="D311" s="493"/>
      <c r="E311" s="493"/>
      <c r="F311" s="493"/>
      <c r="G311" s="493"/>
      <c r="H311" s="493"/>
      <c r="I311" s="493"/>
      <c r="J311" s="493"/>
      <c r="K311" s="493"/>
      <c r="L311" s="493"/>
      <c r="M311" s="493"/>
    </row>
    <row r="312" spans="1:13" ht="121.5" customHeight="1">
      <c r="A312" s="89" t="s">
        <v>1229</v>
      </c>
      <c r="B312" s="673" t="s">
        <v>4794</v>
      </c>
      <c r="C312" s="673"/>
      <c r="D312" s="673"/>
      <c r="E312" s="673"/>
      <c r="F312" s="673"/>
      <c r="G312" s="673"/>
      <c r="H312" s="673"/>
      <c r="I312" s="673"/>
      <c r="J312" s="673"/>
      <c r="K312" s="673"/>
      <c r="L312" s="673"/>
      <c r="M312" s="673"/>
    </row>
    <row r="313" spans="1:13" ht="21" customHeight="1">
      <c r="B313" s="494" t="s">
        <v>2863</v>
      </c>
      <c r="C313" s="494"/>
      <c r="D313" s="494"/>
      <c r="E313" s="494"/>
      <c r="F313" s="494"/>
      <c r="G313" s="494"/>
      <c r="H313" s="494"/>
      <c r="I313" s="494"/>
      <c r="J313" s="494"/>
      <c r="K313" s="494"/>
      <c r="L313" s="495"/>
    </row>
    <row r="314" spans="1:13" s="93" customFormat="1" ht="16.5" customHeight="1"/>
    <row r="315" spans="1:13" s="93" customFormat="1" ht="16.5" customHeight="1">
      <c r="A315" s="94" t="s">
        <v>1232</v>
      </c>
      <c r="B315" s="93" t="s">
        <v>1773</v>
      </c>
      <c r="H315" s="4"/>
    </row>
    <row r="316" spans="1:13" ht="16.5" customHeight="1">
      <c r="F316" s="93"/>
      <c r="G316" s="93"/>
    </row>
    <row r="317" spans="1:13" ht="16.5" customHeight="1">
      <c r="B317" s="93" t="s">
        <v>4620</v>
      </c>
      <c r="C317" s="93" t="s">
        <v>4624</v>
      </c>
      <c r="F317" s="93"/>
      <c r="G317" s="93"/>
    </row>
    <row r="318" spans="1:13" ht="16.5" customHeight="1">
      <c r="B318" s="93" t="s">
        <v>4411</v>
      </c>
      <c r="C318" s="93" t="s">
        <v>4625</v>
      </c>
      <c r="F318" s="93"/>
      <c r="G318" s="93"/>
    </row>
    <row r="319" spans="1:13" ht="16.5" customHeight="1">
      <c r="B319" s="93">
        <v>1</v>
      </c>
      <c r="C319" s="93" t="s">
        <v>4626</v>
      </c>
      <c r="F319" s="93"/>
      <c r="G319" s="93"/>
    </row>
    <row r="320" spans="1:13" ht="16.5" customHeight="1">
      <c r="B320" s="93">
        <v>2</v>
      </c>
      <c r="C320" s="93" t="s">
        <v>4627</v>
      </c>
      <c r="F320" s="93"/>
      <c r="G320" s="93"/>
    </row>
    <row r="321" spans="2:7" ht="16.5" customHeight="1">
      <c r="B321" s="93">
        <v>3</v>
      </c>
      <c r="C321" s="93" t="s">
        <v>4628</v>
      </c>
      <c r="F321" s="93"/>
      <c r="G321" s="93"/>
    </row>
    <row r="322" spans="2:7" ht="16.5" customHeight="1">
      <c r="B322" s="93">
        <v>4</v>
      </c>
      <c r="C322" s="93" t="s">
        <v>4629</v>
      </c>
      <c r="G322" s="93"/>
    </row>
    <row r="323" spans="2:7" ht="16.5" customHeight="1">
      <c r="B323" s="93"/>
      <c r="C323" s="93"/>
      <c r="F323" s="93" t="s">
        <v>3592</v>
      </c>
      <c r="G323" s="93"/>
    </row>
    <row r="324" spans="2:7" ht="16.5" customHeight="1">
      <c r="F324" s="93"/>
      <c r="G324" s="93"/>
    </row>
    <row r="325" spans="2:7" ht="16.5" customHeight="1">
      <c r="B325" s="518" t="s">
        <v>601</v>
      </c>
      <c r="C325" s="518"/>
      <c r="D325" s="518"/>
      <c r="E325" s="518"/>
      <c r="F325" s="518"/>
      <c r="G325" s="93"/>
    </row>
    <row r="326" spans="2:7" ht="16.5" customHeight="1">
      <c r="B326" s="94" t="s">
        <v>4631</v>
      </c>
      <c r="C326" s="94" t="s">
        <v>4632</v>
      </c>
      <c r="D326" s="94" t="s">
        <v>4788</v>
      </c>
      <c r="E326" s="94" t="s">
        <v>4634</v>
      </c>
      <c r="F326" s="94" t="s">
        <v>4633</v>
      </c>
      <c r="G326" s="104" t="s">
        <v>1238</v>
      </c>
    </row>
    <row r="327" spans="2:7" ht="16.5" customHeight="1">
      <c r="B327" s="148">
        <v>40622</v>
      </c>
      <c r="C327" s="148">
        <v>44275</v>
      </c>
      <c r="D327" s="162">
        <v>5.0000000000000001E-3</v>
      </c>
      <c r="E327" s="93">
        <v>100</v>
      </c>
      <c r="F327" s="164">
        <f>PRICEDISC(B327,C327,D327,E327,1)</f>
        <v>94.999626679940263</v>
      </c>
      <c r="G327" s="108" t="s">
        <v>4795</v>
      </c>
    </row>
    <row r="328" spans="2:7" ht="16.5" customHeight="1">
      <c r="F328" s="93"/>
      <c r="G328" s="93"/>
    </row>
    <row r="336" spans="2:7">
      <c r="F336" s="93"/>
      <c r="G336" s="93"/>
    </row>
    <row r="337" spans="6:7">
      <c r="F337" s="93"/>
      <c r="G337" s="93"/>
    </row>
    <row r="338" spans="6:7">
      <c r="G338" s="93"/>
    </row>
    <row r="339" spans="6:7">
      <c r="G339" s="93"/>
    </row>
    <row r="340" spans="6:7">
      <c r="G340" s="93"/>
    </row>
    <row r="341" spans="6:7">
      <c r="G341" s="93"/>
    </row>
    <row r="342" spans="6:7">
      <c r="G342" s="93"/>
    </row>
    <row r="343" spans="6:7">
      <c r="G343" s="93"/>
    </row>
    <row r="344" spans="6:7">
      <c r="G344" s="93"/>
    </row>
    <row r="400" spans="1:6" s="88" customFormat="1" ht="26.25" customHeight="1">
      <c r="A400" s="498" t="s">
        <v>837</v>
      </c>
      <c r="B400" s="498"/>
      <c r="C400" s="499"/>
      <c r="D400" s="87"/>
      <c r="E400" s="500" t="str">
        <f>HYPERLINK("#目录!A396","跳转回到目录页")</f>
        <v>跳转回到目录页</v>
      </c>
      <c r="F400" s="501"/>
    </row>
    <row r="401" spans="1:13" s="88" customFormat="1" ht="26.25" customHeight="1">
      <c r="A401" s="502" t="s">
        <v>1216</v>
      </c>
      <c r="B401" s="502"/>
      <c r="C401" s="503" t="s">
        <v>602</v>
      </c>
      <c r="D401" s="503"/>
      <c r="E401" s="503"/>
      <c r="F401" s="503"/>
      <c r="G401" s="503"/>
      <c r="H401" s="503"/>
      <c r="I401" s="503"/>
      <c r="J401" s="503"/>
      <c r="K401" s="503"/>
      <c r="L401" s="503"/>
      <c r="M401" s="503"/>
    </row>
    <row r="402" spans="1:13" s="88" customFormat="1" ht="16.5" customHeight="1">
      <c r="A402" s="496" t="s">
        <v>1217</v>
      </c>
      <c r="B402" s="496"/>
      <c r="C402" s="493" t="s">
        <v>4796</v>
      </c>
      <c r="D402" s="493"/>
      <c r="E402" s="493"/>
      <c r="F402" s="493"/>
      <c r="G402" s="493"/>
      <c r="H402" s="493"/>
      <c r="I402" s="493"/>
      <c r="J402" s="493"/>
      <c r="K402" s="493"/>
      <c r="L402" s="493"/>
      <c r="M402" s="493"/>
    </row>
    <row r="403" spans="1:13" s="88" customFormat="1" ht="16.5" customHeight="1">
      <c r="A403" s="496" t="s">
        <v>5786</v>
      </c>
      <c r="B403" s="496"/>
      <c r="C403" s="497" t="s">
        <v>602</v>
      </c>
      <c r="D403" s="497"/>
      <c r="E403" s="497"/>
      <c r="F403" s="497"/>
      <c r="G403" s="497"/>
      <c r="H403" s="497"/>
      <c r="I403" s="497"/>
      <c r="J403" s="497"/>
      <c r="K403" s="497"/>
      <c r="L403" s="497"/>
      <c r="M403" s="497"/>
    </row>
    <row r="404" spans="1:13" s="88" customFormat="1" ht="16.5" customHeight="1">
      <c r="A404" s="496" t="s">
        <v>1220</v>
      </c>
      <c r="B404" s="496"/>
      <c r="C404" s="493" t="s">
        <v>4797</v>
      </c>
      <c r="D404" s="493"/>
      <c r="E404" s="493"/>
      <c r="F404" s="493"/>
      <c r="G404" s="493"/>
      <c r="H404" s="493"/>
      <c r="I404" s="493"/>
      <c r="J404" s="493"/>
      <c r="K404" s="493"/>
      <c r="L404" s="493"/>
      <c r="M404" s="493"/>
    </row>
    <row r="405" spans="1:13" s="88" customFormat="1" ht="16.5" customHeight="1">
      <c r="A405" s="496" t="s">
        <v>5785</v>
      </c>
      <c r="B405" s="496"/>
      <c r="C405" s="493" t="s">
        <v>4798</v>
      </c>
      <c r="D405" s="493"/>
      <c r="E405" s="493"/>
      <c r="F405" s="493"/>
      <c r="G405" s="493"/>
      <c r="H405" s="493"/>
      <c r="I405" s="493"/>
      <c r="J405" s="493"/>
      <c r="K405" s="493"/>
      <c r="L405" s="493"/>
      <c r="M405" s="493"/>
    </row>
    <row r="406" spans="1:13" s="88" customFormat="1" ht="16.5" customHeight="1">
      <c r="A406" s="89" t="s">
        <v>1223</v>
      </c>
      <c r="B406" s="92" t="s">
        <v>4609</v>
      </c>
      <c r="C406" s="493" t="s">
        <v>4610</v>
      </c>
      <c r="D406" s="493"/>
      <c r="E406" s="493"/>
      <c r="F406" s="493"/>
      <c r="G406" s="493"/>
      <c r="H406" s="493"/>
      <c r="I406" s="493"/>
      <c r="J406" s="493"/>
      <c r="K406" s="493"/>
      <c r="L406" s="493"/>
      <c r="M406" s="493"/>
    </row>
    <row r="407" spans="1:13" s="88" customFormat="1" ht="16.5" customHeight="1">
      <c r="A407" s="89"/>
      <c r="B407" s="92" t="s">
        <v>4611</v>
      </c>
      <c r="C407" s="493" t="s">
        <v>4612</v>
      </c>
      <c r="D407" s="493"/>
      <c r="E407" s="493"/>
      <c r="F407" s="493"/>
      <c r="G407" s="493"/>
      <c r="H407" s="493"/>
      <c r="I407" s="493"/>
      <c r="J407" s="493"/>
      <c r="K407" s="493"/>
      <c r="L407" s="493"/>
      <c r="M407" s="493"/>
    </row>
    <row r="408" spans="1:13" s="88" customFormat="1" ht="16.5" customHeight="1">
      <c r="A408" s="89"/>
      <c r="B408" s="90" t="s">
        <v>4614</v>
      </c>
      <c r="C408" s="493" t="s">
        <v>4615</v>
      </c>
      <c r="D408" s="493"/>
      <c r="E408" s="493"/>
      <c r="F408" s="493"/>
      <c r="G408" s="493"/>
      <c r="H408" s="493"/>
      <c r="I408" s="493"/>
      <c r="J408" s="493"/>
      <c r="K408" s="493"/>
      <c r="L408" s="493"/>
      <c r="M408" s="493"/>
    </row>
    <row r="409" spans="1:13" s="88" customFormat="1" ht="16.5" customHeight="1">
      <c r="A409" s="89"/>
      <c r="B409" s="92" t="s">
        <v>4616</v>
      </c>
      <c r="C409" s="493" t="s">
        <v>4617</v>
      </c>
      <c r="D409" s="493"/>
      <c r="E409" s="493"/>
      <c r="F409" s="493"/>
      <c r="G409" s="493"/>
      <c r="H409" s="493"/>
      <c r="I409" s="493"/>
      <c r="J409" s="493"/>
      <c r="K409" s="493"/>
      <c r="L409" s="493"/>
      <c r="M409" s="493"/>
    </row>
    <row r="410" spans="1:13" s="88" customFormat="1" ht="16.5" customHeight="1">
      <c r="A410" s="89"/>
      <c r="B410" s="90" t="s">
        <v>4620</v>
      </c>
      <c r="C410" s="493" t="s">
        <v>4621</v>
      </c>
      <c r="D410" s="493"/>
      <c r="E410" s="493"/>
      <c r="F410" s="493"/>
      <c r="G410" s="493"/>
      <c r="H410" s="493"/>
      <c r="I410" s="493"/>
      <c r="J410" s="493"/>
      <c r="K410" s="493"/>
      <c r="L410" s="493"/>
      <c r="M410" s="493"/>
    </row>
    <row r="411" spans="1:13" s="88" customFormat="1" ht="24.75" customHeight="1">
      <c r="A411" s="89" t="s">
        <v>1228</v>
      </c>
      <c r="B411" s="493" t="s">
        <v>4622</v>
      </c>
      <c r="C411" s="493"/>
      <c r="D411" s="493"/>
      <c r="E411" s="493"/>
      <c r="F411" s="493"/>
      <c r="G411" s="493"/>
      <c r="H411" s="493"/>
      <c r="I411" s="493"/>
      <c r="J411" s="493"/>
      <c r="K411" s="493"/>
      <c r="L411" s="493"/>
      <c r="M411" s="493"/>
    </row>
    <row r="412" spans="1:13" ht="122.25" customHeight="1">
      <c r="A412" s="89" t="s">
        <v>1229</v>
      </c>
      <c r="B412" s="673" t="s">
        <v>4799</v>
      </c>
      <c r="C412" s="673"/>
      <c r="D412" s="673"/>
      <c r="E412" s="673"/>
      <c r="F412" s="673"/>
      <c r="G412" s="673"/>
      <c r="H412" s="673"/>
      <c r="I412" s="673"/>
      <c r="J412" s="673"/>
      <c r="K412" s="673"/>
      <c r="L412" s="673"/>
      <c r="M412" s="673"/>
    </row>
    <row r="413" spans="1:13" ht="21" customHeight="1">
      <c r="B413" s="494" t="s">
        <v>2863</v>
      </c>
      <c r="C413" s="494"/>
      <c r="D413" s="494"/>
      <c r="E413" s="494"/>
      <c r="F413" s="494"/>
      <c r="G413" s="494"/>
      <c r="H413" s="494"/>
      <c r="I413" s="494"/>
      <c r="J413" s="494"/>
      <c r="K413" s="494"/>
      <c r="L413" s="495"/>
    </row>
    <row r="414" spans="1:13" s="93" customFormat="1" ht="16.5" customHeight="1"/>
    <row r="415" spans="1:13" s="93" customFormat="1" ht="16.5" customHeight="1">
      <c r="A415" s="94" t="s">
        <v>1232</v>
      </c>
      <c r="B415" s="93" t="s">
        <v>1773</v>
      </c>
    </row>
    <row r="416" spans="1:13" ht="16.5" customHeight="1">
      <c r="E416" s="93"/>
      <c r="F416" s="93"/>
    </row>
    <row r="417" spans="2:7" ht="16.5" customHeight="1">
      <c r="B417" s="93" t="s">
        <v>4620</v>
      </c>
      <c r="C417" s="93" t="s">
        <v>4624</v>
      </c>
      <c r="E417" s="93"/>
      <c r="F417" s="93"/>
    </row>
    <row r="418" spans="2:7" ht="16.5" customHeight="1">
      <c r="B418" s="93" t="s">
        <v>4411</v>
      </c>
      <c r="C418" s="93" t="s">
        <v>4625</v>
      </c>
      <c r="E418" s="93"/>
      <c r="F418" s="93"/>
    </row>
    <row r="419" spans="2:7" ht="16.5" customHeight="1">
      <c r="B419" s="93">
        <v>1</v>
      </c>
      <c r="C419" s="93" t="s">
        <v>4626</v>
      </c>
      <c r="E419" s="93"/>
      <c r="F419" s="93"/>
    </row>
    <row r="420" spans="2:7" ht="16.5" customHeight="1">
      <c r="B420" s="93">
        <v>2</v>
      </c>
      <c r="C420" s="93" t="s">
        <v>4627</v>
      </c>
      <c r="E420" s="93"/>
      <c r="F420" s="93"/>
    </row>
    <row r="421" spans="2:7" ht="16.5" customHeight="1">
      <c r="B421" s="93">
        <v>3</v>
      </c>
      <c r="C421" s="93" t="s">
        <v>4628</v>
      </c>
      <c r="E421" s="93"/>
      <c r="F421" s="93"/>
    </row>
    <row r="422" spans="2:7" ht="16.5" customHeight="1">
      <c r="B422" s="93">
        <v>4</v>
      </c>
      <c r="C422" s="93" t="s">
        <v>4629</v>
      </c>
      <c r="E422" s="93"/>
      <c r="F422" s="93"/>
    </row>
    <row r="423" spans="2:7" ht="16.5" customHeight="1">
      <c r="E423" s="93" t="s">
        <v>3592</v>
      </c>
      <c r="F423" s="93"/>
    </row>
    <row r="424" spans="2:7" ht="16.5" customHeight="1"/>
    <row r="425" spans="2:7" ht="16.5" customHeight="1">
      <c r="B425" s="518" t="s">
        <v>601</v>
      </c>
      <c r="C425" s="518"/>
      <c r="D425" s="518"/>
      <c r="E425" s="518"/>
      <c r="F425" s="518"/>
      <c r="G425" s="93"/>
    </row>
    <row r="426" spans="2:7" ht="16.5" customHeight="1">
      <c r="B426" s="94" t="s">
        <v>4631</v>
      </c>
      <c r="C426" s="94" t="s">
        <v>4632</v>
      </c>
      <c r="D426" s="94" t="s">
        <v>4633</v>
      </c>
      <c r="E426" s="94" t="s">
        <v>4634</v>
      </c>
      <c r="F426" s="94" t="s">
        <v>4788</v>
      </c>
      <c r="G426" s="104" t="s">
        <v>1238</v>
      </c>
    </row>
    <row r="427" spans="2:7" ht="16.5" customHeight="1">
      <c r="B427" s="148">
        <v>40622</v>
      </c>
      <c r="C427" s="148">
        <v>44275</v>
      </c>
      <c r="D427" s="93">
        <v>95</v>
      </c>
      <c r="E427" s="93">
        <v>100</v>
      </c>
      <c r="F427" s="162">
        <f>DISC(B427,C427,D427,E427,1)</f>
        <v>4.999626707811765E-3</v>
      </c>
      <c r="G427" s="108" t="s">
        <v>4800</v>
      </c>
    </row>
  </sheetData>
  <mergeCells count="105">
    <mergeCell ref="A1:C1"/>
    <mergeCell ref="E1:F1"/>
    <mergeCell ref="A2:B2"/>
    <mergeCell ref="C2:M2"/>
    <mergeCell ref="A3:B3"/>
    <mergeCell ref="C3:M3"/>
    <mergeCell ref="C7:M7"/>
    <mergeCell ref="C8:M8"/>
    <mergeCell ref="C9:M9"/>
    <mergeCell ref="C10:M10"/>
    <mergeCell ref="C11:M11"/>
    <mergeCell ref="B12:M12"/>
    <mergeCell ref="A4:B4"/>
    <mergeCell ref="C4:M4"/>
    <mergeCell ref="A5:B5"/>
    <mergeCell ref="C5:M5"/>
    <mergeCell ref="A6:B6"/>
    <mergeCell ref="C6:M6"/>
    <mergeCell ref="A102:B102"/>
    <mergeCell ref="C102:M102"/>
    <mergeCell ref="A103:B103"/>
    <mergeCell ref="C103:M103"/>
    <mergeCell ref="A104:B104"/>
    <mergeCell ref="C104:M104"/>
    <mergeCell ref="B13:M13"/>
    <mergeCell ref="B14:L14"/>
    <mergeCell ref="B26:F26"/>
    <mergeCell ref="A100:C100"/>
    <mergeCell ref="E100:F100"/>
    <mergeCell ref="A101:B101"/>
    <mergeCell ref="C101:M101"/>
    <mergeCell ref="C110:M110"/>
    <mergeCell ref="B111:M111"/>
    <mergeCell ref="B112:M112"/>
    <mergeCell ref="B113:L113"/>
    <mergeCell ref="B125:F125"/>
    <mergeCell ref="A200:C200"/>
    <mergeCell ref="E200:F200"/>
    <mergeCell ref="A105:B105"/>
    <mergeCell ref="C105:M105"/>
    <mergeCell ref="C106:M106"/>
    <mergeCell ref="C107:M107"/>
    <mergeCell ref="C108:M108"/>
    <mergeCell ref="C109:M109"/>
    <mergeCell ref="A204:B204"/>
    <mergeCell ref="C204:M204"/>
    <mergeCell ref="A205:B205"/>
    <mergeCell ref="C205:M205"/>
    <mergeCell ref="C206:M206"/>
    <mergeCell ref="C207:M207"/>
    <mergeCell ref="A201:B201"/>
    <mergeCell ref="C201:M201"/>
    <mergeCell ref="A202:B202"/>
    <mergeCell ref="C202:M202"/>
    <mergeCell ref="A203:B203"/>
    <mergeCell ref="C203:M203"/>
    <mergeCell ref="B225:F225"/>
    <mergeCell ref="A300:C300"/>
    <mergeCell ref="E300:F300"/>
    <mergeCell ref="A301:B301"/>
    <mergeCell ref="C301:M301"/>
    <mergeCell ref="A302:B302"/>
    <mergeCell ref="C302:M302"/>
    <mergeCell ref="C208:M208"/>
    <mergeCell ref="C209:M209"/>
    <mergeCell ref="C210:M210"/>
    <mergeCell ref="B211:M211"/>
    <mergeCell ref="B212:M212"/>
    <mergeCell ref="B213:L213"/>
    <mergeCell ref="C306:M306"/>
    <mergeCell ref="C307:M307"/>
    <mergeCell ref="C308:M308"/>
    <mergeCell ref="C309:M309"/>
    <mergeCell ref="C310:M310"/>
    <mergeCell ref="B311:M311"/>
    <mergeCell ref="A303:B303"/>
    <mergeCell ref="C303:M303"/>
    <mergeCell ref="A304:B304"/>
    <mergeCell ref="C304:M304"/>
    <mergeCell ref="A305:B305"/>
    <mergeCell ref="C305:M305"/>
    <mergeCell ref="A402:B402"/>
    <mergeCell ref="C402:M402"/>
    <mergeCell ref="A403:B403"/>
    <mergeCell ref="C403:M403"/>
    <mergeCell ref="A404:B404"/>
    <mergeCell ref="C404:M404"/>
    <mergeCell ref="B312:M312"/>
    <mergeCell ref="B313:L313"/>
    <mergeCell ref="B325:F325"/>
    <mergeCell ref="A400:C400"/>
    <mergeCell ref="E400:F400"/>
    <mergeCell ref="A401:B401"/>
    <mergeCell ref="C401:M401"/>
    <mergeCell ref="C410:M410"/>
    <mergeCell ref="B411:M411"/>
    <mergeCell ref="B412:M412"/>
    <mergeCell ref="B413:L413"/>
    <mergeCell ref="B425:F425"/>
    <mergeCell ref="A405:B405"/>
    <mergeCell ref="C405:M405"/>
    <mergeCell ref="C406:M406"/>
    <mergeCell ref="C407:M407"/>
    <mergeCell ref="C408:M408"/>
    <mergeCell ref="C409:M409"/>
  </mergeCells>
  <phoneticPr fontId="2" type="noConversion"/>
  <pageMargins left="0.75" right="0.75" top="1" bottom="1" header="0.5" footer="0.5"/>
  <headerFooter scaleWithDoc="0"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8"/>
  <dimension ref="A1:AV21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1159</v>
      </c>
      <c r="B1" s="498"/>
      <c r="C1" s="499"/>
      <c r="D1" s="87"/>
      <c r="E1" s="500" t="str">
        <f>HYPERLINK("#目录!A398","跳转回到目录页")</f>
        <v>跳转回到目录页</v>
      </c>
      <c r="F1" s="501"/>
    </row>
    <row r="2" spans="1:48" s="88" customFormat="1" ht="26.25" customHeight="1">
      <c r="A2" s="502" t="s">
        <v>1216</v>
      </c>
      <c r="B2" s="502"/>
      <c r="C2" s="503" t="s">
        <v>604</v>
      </c>
      <c r="D2" s="503"/>
      <c r="E2" s="503"/>
      <c r="F2" s="503"/>
      <c r="G2" s="503"/>
      <c r="H2" s="503"/>
      <c r="I2" s="503"/>
      <c r="J2" s="503"/>
      <c r="K2" s="503"/>
      <c r="L2" s="503"/>
      <c r="M2" s="503"/>
    </row>
    <row r="3" spans="1:48" s="88" customFormat="1" ht="16.5" customHeight="1">
      <c r="A3" s="496" t="s">
        <v>1217</v>
      </c>
      <c r="B3" s="496"/>
      <c r="C3" s="493" t="s">
        <v>4801</v>
      </c>
      <c r="D3" s="493"/>
      <c r="E3" s="493"/>
      <c r="F3" s="493"/>
      <c r="G3" s="493"/>
      <c r="H3" s="493"/>
      <c r="I3" s="493"/>
      <c r="J3" s="493"/>
      <c r="K3" s="493"/>
      <c r="L3" s="493"/>
      <c r="M3" s="493"/>
    </row>
    <row r="4" spans="1:48" s="88" customFormat="1" ht="16.5" customHeight="1">
      <c r="A4" s="496" t="s">
        <v>5786</v>
      </c>
      <c r="B4" s="496"/>
      <c r="C4" s="497" t="s">
        <v>604</v>
      </c>
      <c r="D4" s="497"/>
      <c r="E4" s="497"/>
      <c r="F4" s="497"/>
      <c r="G4" s="497"/>
      <c r="H4" s="497"/>
      <c r="I4" s="497"/>
      <c r="J4" s="497"/>
      <c r="K4" s="497"/>
      <c r="L4" s="497"/>
      <c r="M4" s="497"/>
    </row>
    <row r="5" spans="1:48" s="88" customFormat="1" ht="16.5" customHeight="1">
      <c r="A5" s="496" t="s">
        <v>1220</v>
      </c>
      <c r="B5" s="496"/>
      <c r="C5" s="493" t="s">
        <v>4802</v>
      </c>
      <c r="D5" s="493"/>
      <c r="E5" s="493"/>
      <c r="F5" s="493"/>
      <c r="G5" s="493"/>
      <c r="H5" s="493"/>
      <c r="I5" s="493"/>
      <c r="J5" s="493"/>
      <c r="K5" s="493"/>
      <c r="L5" s="493"/>
      <c r="M5" s="493"/>
    </row>
    <row r="6" spans="1:48" s="88" customFormat="1" ht="16.5" customHeight="1">
      <c r="A6" s="496" t="s">
        <v>5785</v>
      </c>
      <c r="B6" s="496"/>
      <c r="C6" s="493" t="s">
        <v>4803</v>
      </c>
      <c r="D6" s="493"/>
      <c r="E6" s="493"/>
      <c r="F6" s="493"/>
      <c r="G6" s="493"/>
      <c r="H6" s="493"/>
      <c r="I6" s="493"/>
      <c r="J6" s="493"/>
      <c r="K6" s="493"/>
      <c r="L6" s="493"/>
      <c r="M6" s="493"/>
    </row>
    <row r="7" spans="1:48" s="88" customFormat="1" ht="16.5" customHeight="1">
      <c r="A7" s="89" t="s">
        <v>1223</v>
      </c>
      <c r="B7" s="92" t="s">
        <v>4609</v>
      </c>
      <c r="C7" s="493" t="s">
        <v>4804</v>
      </c>
      <c r="D7" s="493"/>
      <c r="E7" s="493"/>
      <c r="F7" s="493"/>
      <c r="G7" s="493"/>
      <c r="H7" s="493"/>
      <c r="I7" s="493"/>
      <c r="J7" s="493"/>
      <c r="K7" s="493"/>
      <c r="L7" s="493"/>
      <c r="M7" s="493"/>
    </row>
    <row r="8" spans="1:48" s="88" customFormat="1" ht="16.5" customHeight="1">
      <c r="A8" s="89"/>
      <c r="B8" s="92" t="s">
        <v>4611</v>
      </c>
      <c r="C8" s="493" t="s">
        <v>4805</v>
      </c>
      <c r="D8" s="493"/>
      <c r="E8" s="493"/>
      <c r="F8" s="493"/>
      <c r="G8" s="493"/>
      <c r="H8" s="493"/>
      <c r="I8" s="493"/>
      <c r="J8" s="493"/>
      <c r="K8" s="493"/>
      <c r="L8" s="493"/>
      <c r="M8" s="493"/>
    </row>
    <row r="9" spans="1:48" s="88" customFormat="1" ht="16.5" customHeight="1">
      <c r="A9" s="89"/>
      <c r="B9" s="90" t="s">
        <v>4614</v>
      </c>
      <c r="C9" s="493" t="s">
        <v>4806</v>
      </c>
      <c r="D9" s="493"/>
      <c r="E9" s="493"/>
      <c r="F9" s="493"/>
      <c r="G9" s="493"/>
      <c r="H9" s="493"/>
      <c r="I9" s="493"/>
      <c r="J9" s="493"/>
      <c r="K9" s="493"/>
      <c r="L9" s="493"/>
      <c r="M9" s="493"/>
    </row>
    <row r="10" spans="1:48" s="88" customFormat="1" ht="24.75" customHeight="1">
      <c r="A10" s="89" t="s">
        <v>1228</v>
      </c>
      <c r="B10" s="493" t="s">
        <v>4622</v>
      </c>
      <c r="C10" s="493"/>
      <c r="D10" s="493"/>
      <c r="E10" s="493"/>
      <c r="F10" s="493"/>
      <c r="G10" s="493"/>
      <c r="H10" s="493"/>
      <c r="I10" s="493"/>
      <c r="J10" s="493"/>
      <c r="K10" s="493"/>
      <c r="L10" s="493"/>
      <c r="M10" s="493"/>
    </row>
    <row r="11" spans="1:48" ht="87" customHeight="1">
      <c r="A11" s="89" t="s">
        <v>1229</v>
      </c>
      <c r="B11" s="673" t="s">
        <v>4807</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604</v>
      </c>
      <c r="C17" s="518"/>
      <c r="D17" s="518"/>
      <c r="E17" s="51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4" t="s">
        <v>4631</v>
      </c>
      <c r="C18" s="94" t="s">
        <v>4632</v>
      </c>
      <c r="D18" s="94" t="s">
        <v>4633</v>
      </c>
      <c r="E18" s="94" t="s">
        <v>4635</v>
      </c>
      <c r="F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148">
        <v>40634</v>
      </c>
      <c r="C19" s="148">
        <v>41000</v>
      </c>
      <c r="D19" s="93">
        <v>99.3</v>
      </c>
      <c r="E19" s="162">
        <f>TBILLYIELD(B19,C19,D19)</f>
        <v>6.9337823782873835E-3</v>
      </c>
      <c r="F19" s="108" t="s">
        <v>4808</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1155</v>
      </c>
      <c r="B100" s="498"/>
      <c r="C100" s="499"/>
      <c r="D100" s="87"/>
      <c r="E100" s="500" t="str">
        <f>HYPERLINK("#目录!A399","跳转回到目录页")</f>
        <v>跳转回到目录页</v>
      </c>
      <c r="F100" s="501"/>
    </row>
    <row r="101" spans="1:13" s="88" customFormat="1" ht="26.25" customHeight="1">
      <c r="A101" s="502" t="s">
        <v>1216</v>
      </c>
      <c r="B101" s="502"/>
      <c r="C101" s="503" t="s">
        <v>605</v>
      </c>
      <c r="D101" s="503"/>
      <c r="E101" s="503"/>
      <c r="F101" s="503"/>
      <c r="G101" s="503"/>
      <c r="H101" s="503"/>
      <c r="I101" s="503"/>
      <c r="J101" s="503"/>
      <c r="K101" s="503"/>
      <c r="L101" s="503"/>
      <c r="M101" s="503"/>
    </row>
    <row r="102" spans="1:13" s="88" customFormat="1" ht="16.5" customHeight="1">
      <c r="A102" s="496" t="s">
        <v>1217</v>
      </c>
      <c r="B102" s="496"/>
      <c r="C102" s="493" t="s">
        <v>4809</v>
      </c>
      <c r="D102" s="493"/>
      <c r="E102" s="493"/>
      <c r="F102" s="493"/>
      <c r="G102" s="493"/>
      <c r="H102" s="493"/>
      <c r="I102" s="493"/>
      <c r="J102" s="493"/>
      <c r="K102" s="493"/>
      <c r="L102" s="493"/>
      <c r="M102" s="493"/>
    </row>
    <row r="103" spans="1:13" s="88" customFormat="1" ht="16.5" customHeight="1">
      <c r="A103" s="496" t="s">
        <v>5786</v>
      </c>
      <c r="B103" s="496"/>
      <c r="C103" s="497" t="s">
        <v>605</v>
      </c>
      <c r="D103" s="497"/>
      <c r="E103" s="497"/>
      <c r="F103" s="497"/>
      <c r="G103" s="497"/>
      <c r="H103" s="497"/>
      <c r="I103" s="497"/>
      <c r="J103" s="497"/>
      <c r="K103" s="497"/>
      <c r="L103" s="497"/>
      <c r="M103" s="497"/>
    </row>
    <row r="104" spans="1:13" s="88" customFormat="1" ht="16.5" customHeight="1">
      <c r="A104" s="496" t="s">
        <v>1220</v>
      </c>
      <c r="B104" s="496"/>
      <c r="C104" s="493" t="s">
        <v>4810</v>
      </c>
      <c r="D104" s="493"/>
      <c r="E104" s="493"/>
      <c r="F104" s="493"/>
      <c r="G104" s="493"/>
      <c r="H104" s="493"/>
      <c r="I104" s="493"/>
      <c r="J104" s="493"/>
      <c r="K104" s="493"/>
      <c r="L104" s="493"/>
      <c r="M104" s="493"/>
    </row>
    <row r="105" spans="1:13" s="88" customFormat="1" ht="16.5" customHeight="1">
      <c r="A105" s="496" t="s">
        <v>5785</v>
      </c>
      <c r="B105" s="496"/>
      <c r="C105" s="493" t="s">
        <v>4811</v>
      </c>
      <c r="D105" s="493"/>
      <c r="E105" s="493"/>
      <c r="F105" s="493"/>
      <c r="G105" s="493"/>
      <c r="H105" s="493"/>
      <c r="I105" s="493"/>
      <c r="J105" s="493"/>
      <c r="K105" s="493"/>
      <c r="L105" s="493"/>
      <c r="M105" s="493"/>
    </row>
    <row r="106" spans="1:13" s="88" customFormat="1" ht="16.5" customHeight="1">
      <c r="A106" s="89" t="s">
        <v>1223</v>
      </c>
      <c r="B106" s="92" t="s">
        <v>4609</v>
      </c>
      <c r="C106" s="493" t="s">
        <v>4804</v>
      </c>
      <c r="D106" s="493"/>
      <c r="E106" s="493"/>
      <c r="F106" s="493"/>
      <c r="G106" s="493"/>
      <c r="H106" s="493"/>
      <c r="I106" s="493"/>
      <c r="J106" s="493"/>
      <c r="K106" s="493"/>
      <c r="L106" s="493"/>
      <c r="M106" s="493"/>
    </row>
    <row r="107" spans="1:13" s="88" customFormat="1" ht="16.5" customHeight="1">
      <c r="A107" s="89"/>
      <c r="B107" s="92" t="s">
        <v>4611</v>
      </c>
      <c r="C107" s="493" t="s">
        <v>4805</v>
      </c>
      <c r="D107" s="493"/>
      <c r="E107" s="493"/>
      <c r="F107" s="493"/>
      <c r="G107" s="493"/>
      <c r="H107" s="493"/>
      <c r="I107" s="493"/>
      <c r="J107" s="493"/>
      <c r="K107" s="493"/>
      <c r="L107" s="493"/>
      <c r="M107" s="493"/>
    </row>
    <row r="108" spans="1:13" s="88" customFormat="1" ht="16.5" customHeight="1">
      <c r="A108" s="89"/>
      <c r="B108" s="90" t="s">
        <v>4784</v>
      </c>
      <c r="C108" s="493" t="s">
        <v>4812</v>
      </c>
      <c r="D108" s="493"/>
      <c r="E108" s="493"/>
      <c r="F108" s="493"/>
      <c r="G108" s="493"/>
      <c r="H108" s="493"/>
      <c r="I108" s="493"/>
      <c r="J108" s="493"/>
      <c r="K108" s="493"/>
      <c r="L108" s="493"/>
      <c r="M108" s="493"/>
    </row>
    <row r="109" spans="1:13" s="88" customFormat="1" ht="24.75" customHeight="1">
      <c r="A109" s="89" t="s">
        <v>1228</v>
      </c>
      <c r="B109" s="493" t="s">
        <v>4622</v>
      </c>
      <c r="C109" s="493"/>
      <c r="D109" s="493"/>
      <c r="E109" s="493"/>
      <c r="F109" s="493"/>
      <c r="G109" s="493"/>
      <c r="H109" s="493"/>
      <c r="I109" s="493"/>
      <c r="J109" s="493"/>
      <c r="K109" s="493"/>
      <c r="L109" s="493"/>
      <c r="M109" s="493"/>
    </row>
    <row r="110" spans="1:13" ht="99" customHeight="1">
      <c r="A110" s="89" t="s">
        <v>1229</v>
      </c>
      <c r="B110" s="673" t="s">
        <v>4813</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row>
    <row r="114" spans="1:7" ht="16.5" customHeight="1">
      <c r="F114" s="93"/>
    </row>
    <row r="115" spans="1:7" ht="16.5" customHeight="1">
      <c r="F115" s="93"/>
    </row>
    <row r="116" spans="1:7" ht="16.5" customHeight="1">
      <c r="B116" s="518" t="s">
        <v>605</v>
      </c>
      <c r="C116" s="518"/>
      <c r="D116" s="518"/>
      <c r="E116" s="518"/>
      <c r="F116" s="518"/>
    </row>
    <row r="117" spans="1:7" ht="16.5" customHeight="1">
      <c r="B117" s="94" t="s">
        <v>4631</v>
      </c>
      <c r="C117" s="94" t="s">
        <v>4632</v>
      </c>
      <c r="D117" s="94" t="s">
        <v>4788</v>
      </c>
      <c r="E117" s="518" t="s">
        <v>4814</v>
      </c>
      <c r="F117" s="518"/>
      <c r="G117" s="104" t="s">
        <v>1238</v>
      </c>
    </row>
    <row r="118" spans="1:7" ht="16.5" customHeight="1">
      <c r="B118" s="148">
        <v>40634</v>
      </c>
      <c r="C118" s="148">
        <v>41000</v>
      </c>
      <c r="D118" s="162">
        <v>5.0000000000000001E-3</v>
      </c>
      <c r="E118" s="678">
        <f>TBILLEQ(B118,C118,D118)</f>
        <v>5.1027960052203447E-3</v>
      </c>
      <c r="F118" s="678"/>
      <c r="G118" s="108" t="s">
        <v>4815</v>
      </c>
    </row>
    <row r="119" spans="1:7" ht="16.5" customHeight="1"/>
    <row r="120" spans="1:7" ht="16.5" customHeight="1"/>
    <row r="121" spans="1:7" ht="16.5" customHeight="1"/>
    <row r="122" spans="1:7" ht="16.5" customHeight="1"/>
    <row r="123" spans="1:7" ht="16.5" customHeight="1">
      <c r="F123" s="93"/>
    </row>
    <row r="124" spans="1:7" ht="16.5" customHeight="1">
      <c r="F124" s="93"/>
    </row>
    <row r="125" spans="1:7">
      <c r="F125" s="93"/>
    </row>
    <row r="126" spans="1:7">
      <c r="F126" s="93"/>
    </row>
    <row r="200" spans="1:13" s="88" customFormat="1" ht="26.25" customHeight="1">
      <c r="A200" s="498" t="s">
        <v>1157</v>
      </c>
      <c r="B200" s="498"/>
      <c r="C200" s="499"/>
      <c r="D200" s="87"/>
      <c r="E200" s="500" t="str">
        <f>HYPERLINK("#目录!A398","跳转回到目录页")</f>
        <v>跳转回到目录页</v>
      </c>
      <c r="F200" s="501"/>
    </row>
    <row r="201" spans="1:13" s="88" customFormat="1" ht="26.25" customHeight="1">
      <c r="A201" s="502" t="s">
        <v>1216</v>
      </c>
      <c r="B201" s="502"/>
      <c r="C201" s="503" t="s">
        <v>606</v>
      </c>
      <c r="D201" s="503"/>
      <c r="E201" s="503"/>
      <c r="F201" s="503"/>
      <c r="G201" s="503"/>
      <c r="H201" s="503"/>
      <c r="I201" s="503"/>
      <c r="J201" s="503"/>
      <c r="K201" s="503"/>
      <c r="L201" s="503"/>
      <c r="M201" s="503"/>
    </row>
    <row r="202" spans="1:13" s="88" customFormat="1" ht="16.5" customHeight="1">
      <c r="A202" s="496" t="s">
        <v>1217</v>
      </c>
      <c r="B202" s="496"/>
      <c r="C202" s="493" t="s">
        <v>4816</v>
      </c>
      <c r="D202" s="493"/>
      <c r="E202" s="493"/>
      <c r="F202" s="493"/>
      <c r="G202" s="493"/>
      <c r="H202" s="493"/>
      <c r="I202" s="493"/>
      <c r="J202" s="493"/>
      <c r="K202" s="493"/>
      <c r="L202" s="493"/>
      <c r="M202" s="493"/>
    </row>
    <row r="203" spans="1:13" s="88" customFormat="1" ht="16.5" customHeight="1">
      <c r="A203" s="496" t="s">
        <v>5786</v>
      </c>
      <c r="B203" s="496"/>
      <c r="C203" s="497" t="s">
        <v>606</v>
      </c>
      <c r="D203" s="497"/>
      <c r="E203" s="497"/>
      <c r="F203" s="497"/>
      <c r="G203" s="497"/>
      <c r="H203" s="497"/>
      <c r="I203" s="497"/>
      <c r="J203" s="497"/>
      <c r="K203" s="497"/>
      <c r="L203" s="497"/>
      <c r="M203" s="497"/>
    </row>
    <row r="204" spans="1:13" s="88" customFormat="1" ht="16.5" customHeight="1">
      <c r="A204" s="496" t="s">
        <v>1220</v>
      </c>
      <c r="B204" s="496"/>
      <c r="C204" s="493" t="s">
        <v>4817</v>
      </c>
      <c r="D204" s="493"/>
      <c r="E204" s="493"/>
      <c r="F204" s="493"/>
      <c r="G204" s="493"/>
      <c r="H204" s="493"/>
      <c r="I204" s="493"/>
      <c r="J204" s="493"/>
      <c r="K204" s="493"/>
      <c r="L204" s="493"/>
      <c r="M204" s="493"/>
    </row>
    <row r="205" spans="1:13" s="88" customFormat="1" ht="16.5" customHeight="1">
      <c r="A205" s="496" t="s">
        <v>5785</v>
      </c>
      <c r="B205" s="496"/>
      <c r="C205" s="493" t="s">
        <v>4818</v>
      </c>
      <c r="D205" s="493"/>
      <c r="E205" s="493"/>
      <c r="F205" s="493"/>
      <c r="G205" s="493"/>
      <c r="H205" s="493"/>
      <c r="I205" s="493"/>
      <c r="J205" s="493"/>
      <c r="K205" s="493"/>
      <c r="L205" s="493"/>
      <c r="M205" s="493"/>
    </row>
    <row r="206" spans="1:13" s="88" customFormat="1" ht="16.5" customHeight="1">
      <c r="A206" s="89" t="s">
        <v>1223</v>
      </c>
      <c r="B206" s="92" t="s">
        <v>4609</v>
      </c>
      <c r="C206" s="493" t="s">
        <v>4804</v>
      </c>
      <c r="D206" s="493"/>
      <c r="E206" s="493"/>
      <c r="F206" s="493"/>
      <c r="G206" s="493"/>
      <c r="H206" s="493"/>
      <c r="I206" s="493"/>
      <c r="J206" s="493"/>
      <c r="K206" s="493"/>
      <c r="L206" s="493"/>
      <c r="M206" s="493"/>
    </row>
    <row r="207" spans="1:13" s="88" customFormat="1" ht="16.5" customHeight="1">
      <c r="A207" s="89"/>
      <c r="B207" s="92" t="s">
        <v>4611</v>
      </c>
      <c r="C207" s="493" t="s">
        <v>4805</v>
      </c>
      <c r="D207" s="493"/>
      <c r="E207" s="493"/>
      <c r="F207" s="493"/>
      <c r="G207" s="493"/>
      <c r="H207" s="493"/>
      <c r="I207" s="493"/>
      <c r="J207" s="493"/>
      <c r="K207" s="493"/>
      <c r="L207" s="493"/>
      <c r="M207" s="493"/>
    </row>
    <row r="208" spans="1:13" s="88" customFormat="1" ht="16.5" customHeight="1">
      <c r="A208" s="89"/>
      <c r="B208" s="90" t="s">
        <v>4784</v>
      </c>
      <c r="C208" s="493" t="s">
        <v>4812</v>
      </c>
      <c r="D208" s="493"/>
      <c r="E208" s="493"/>
      <c r="F208" s="493"/>
      <c r="G208" s="493"/>
      <c r="H208" s="493"/>
      <c r="I208" s="493"/>
      <c r="J208" s="493"/>
      <c r="K208" s="493"/>
      <c r="L208" s="493"/>
      <c r="M208" s="493"/>
    </row>
    <row r="209" spans="1:13" s="88" customFormat="1" ht="24.75" customHeight="1">
      <c r="A209" s="89" t="s">
        <v>1228</v>
      </c>
      <c r="B209" s="493" t="s">
        <v>4622</v>
      </c>
      <c r="C209" s="493"/>
      <c r="D209" s="493"/>
      <c r="E209" s="493"/>
      <c r="F209" s="493"/>
      <c r="G209" s="493"/>
      <c r="H209" s="493"/>
      <c r="I209" s="493"/>
      <c r="J209" s="493"/>
      <c r="K209" s="493"/>
      <c r="L209" s="493"/>
      <c r="M209" s="493"/>
    </row>
    <row r="210" spans="1:13" ht="85.5" customHeight="1">
      <c r="A210" s="89" t="s">
        <v>1229</v>
      </c>
      <c r="B210" s="673" t="s">
        <v>4819</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B214" s="93"/>
      <c r="C214" s="93"/>
      <c r="D214" s="93"/>
      <c r="E214" s="93"/>
      <c r="F214" s="93"/>
      <c r="G214" s="93"/>
      <c r="H214" s="93"/>
      <c r="I214" s="93"/>
      <c r="J214" s="93"/>
      <c r="K214" s="93"/>
    </row>
    <row r="215" spans="1:13" ht="16.5" customHeight="1">
      <c r="B215" s="93"/>
      <c r="C215" s="93"/>
      <c r="D215" s="93"/>
      <c r="E215" s="93"/>
      <c r="F215" s="93"/>
      <c r="G215" s="93"/>
      <c r="H215" s="93"/>
      <c r="I215" s="93"/>
      <c r="J215" s="93"/>
      <c r="K215" s="93"/>
    </row>
    <row r="216" spans="1:13" ht="16.5" customHeight="1">
      <c r="B216" s="518" t="s">
        <v>606</v>
      </c>
      <c r="C216" s="518"/>
      <c r="D216" s="518"/>
      <c r="E216" s="518"/>
      <c r="F216" s="93"/>
      <c r="G216" s="93"/>
      <c r="H216" s="93"/>
      <c r="I216" s="93"/>
      <c r="J216" s="93"/>
      <c r="K216" s="93"/>
    </row>
    <row r="217" spans="1:13" ht="16.5" customHeight="1">
      <c r="B217" s="94" t="s">
        <v>4631</v>
      </c>
      <c r="C217" s="94" t="s">
        <v>4632</v>
      </c>
      <c r="D217" s="94" t="s">
        <v>4788</v>
      </c>
      <c r="E217" s="94" t="s">
        <v>4633</v>
      </c>
      <c r="F217" s="104" t="s">
        <v>1238</v>
      </c>
      <c r="G217" s="93"/>
      <c r="H217" s="93"/>
      <c r="I217" s="93"/>
      <c r="J217" s="93"/>
      <c r="K217" s="93"/>
    </row>
    <row r="218" spans="1:13" ht="16.5" customHeight="1">
      <c r="B218" s="148">
        <v>40634</v>
      </c>
      <c r="C218" s="148">
        <v>41000</v>
      </c>
      <c r="D218" s="162">
        <v>5.0000000000000001E-3</v>
      </c>
      <c r="E218" s="93">
        <f>TBILLPRICE(B218,C218,D218)</f>
        <v>99.491666666666674</v>
      </c>
      <c r="F218" s="108" t="s">
        <v>4820</v>
      </c>
      <c r="G218" s="93"/>
      <c r="H218" s="93"/>
      <c r="I218" s="93"/>
      <c r="J218" s="93"/>
      <c r="K218" s="93"/>
    </row>
  </sheetData>
  <mergeCells count="59">
    <mergeCell ref="A1:C1"/>
    <mergeCell ref="E1:F1"/>
    <mergeCell ref="A2:B2"/>
    <mergeCell ref="C2:M2"/>
    <mergeCell ref="A3:B3"/>
    <mergeCell ref="C3:M3"/>
    <mergeCell ref="A4:B4"/>
    <mergeCell ref="C4:M4"/>
    <mergeCell ref="A5:B5"/>
    <mergeCell ref="C5:M5"/>
    <mergeCell ref="A6:B6"/>
    <mergeCell ref="C6:M6"/>
    <mergeCell ref="A102:B102"/>
    <mergeCell ref="C102:M102"/>
    <mergeCell ref="C7:M7"/>
    <mergeCell ref="C8:M8"/>
    <mergeCell ref="C9:M9"/>
    <mergeCell ref="B10:M10"/>
    <mergeCell ref="B11:M11"/>
    <mergeCell ref="B12:L12"/>
    <mergeCell ref="B17:E17"/>
    <mergeCell ref="A100:C100"/>
    <mergeCell ref="E100:F100"/>
    <mergeCell ref="A101:B101"/>
    <mergeCell ref="C101:M101"/>
    <mergeCell ref="A103:B103"/>
    <mergeCell ref="C103:M103"/>
    <mergeCell ref="A104:B104"/>
    <mergeCell ref="C104:M104"/>
    <mergeCell ref="A105:B105"/>
    <mergeCell ref="C105:M105"/>
    <mergeCell ref="A201:B201"/>
    <mergeCell ref="C201:M201"/>
    <mergeCell ref="C106:M106"/>
    <mergeCell ref="C107:M107"/>
    <mergeCell ref="C108:M108"/>
    <mergeCell ref="B109:M109"/>
    <mergeCell ref="B110:M110"/>
    <mergeCell ref="B111:L111"/>
    <mergeCell ref="B116:F116"/>
    <mergeCell ref="E117:F117"/>
    <mergeCell ref="E118:F118"/>
    <mergeCell ref="A200:C200"/>
    <mergeCell ref="E200:F200"/>
    <mergeCell ref="A202:B202"/>
    <mergeCell ref="C202:M202"/>
    <mergeCell ref="A203:B203"/>
    <mergeCell ref="C203:M203"/>
    <mergeCell ref="A204:B204"/>
    <mergeCell ref="C204:M204"/>
    <mergeCell ref="B210:M210"/>
    <mergeCell ref="B211:L211"/>
    <mergeCell ref="B216:E216"/>
    <mergeCell ref="A205:B205"/>
    <mergeCell ref="C205:M205"/>
    <mergeCell ref="C206:M206"/>
    <mergeCell ref="C207:M207"/>
    <mergeCell ref="C208:M208"/>
    <mergeCell ref="B209:M209"/>
  </mergeCells>
  <phoneticPr fontId="2" type="noConversion"/>
  <pageMargins left="0.75" right="0.75" top="1" bottom="1" header="0.5" footer="0.5"/>
  <headerFooter scaleWithDoc="0"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9"/>
  <dimension ref="A1:AV121"/>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844</v>
      </c>
      <c r="B1" s="498"/>
      <c r="C1" s="499"/>
      <c r="D1" s="87"/>
      <c r="E1" s="500" t="str">
        <f>HYPERLINK("#目录!A402","跳转回到目录页")</f>
        <v>跳转回到目录页</v>
      </c>
      <c r="F1" s="501"/>
    </row>
    <row r="2" spans="1:48" s="88" customFormat="1" ht="26.25" customHeight="1">
      <c r="A2" s="502" t="s">
        <v>1216</v>
      </c>
      <c r="B2" s="502"/>
      <c r="C2" s="503" t="s">
        <v>608</v>
      </c>
      <c r="D2" s="503"/>
      <c r="E2" s="503"/>
      <c r="F2" s="503"/>
      <c r="G2" s="503"/>
      <c r="H2" s="503"/>
      <c r="I2" s="503"/>
      <c r="J2" s="503"/>
      <c r="K2" s="503"/>
      <c r="L2" s="503"/>
      <c r="M2" s="503"/>
    </row>
    <row r="3" spans="1:48" s="88" customFormat="1" ht="16.5" customHeight="1">
      <c r="A3" s="496" t="s">
        <v>1217</v>
      </c>
      <c r="B3" s="496"/>
      <c r="C3" s="493" t="s">
        <v>4821</v>
      </c>
      <c r="D3" s="493"/>
      <c r="E3" s="493"/>
      <c r="F3" s="493"/>
      <c r="G3" s="493"/>
      <c r="H3" s="493"/>
      <c r="I3" s="493"/>
      <c r="J3" s="493"/>
      <c r="K3" s="493"/>
      <c r="L3" s="493"/>
      <c r="M3" s="493"/>
    </row>
    <row r="4" spans="1:48" s="88" customFormat="1" ht="16.5" customHeight="1">
      <c r="A4" s="496" t="s">
        <v>5786</v>
      </c>
      <c r="B4" s="496"/>
      <c r="C4" s="497" t="s">
        <v>608</v>
      </c>
      <c r="D4" s="497"/>
      <c r="E4" s="497"/>
      <c r="F4" s="497"/>
      <c r="G4" s="497"/>
      <c r="H4" s="497"/>
      <c r="I4" s="497"/>
      <c r="J4" s="497"/>
      <c r="K4" s="497"/>
      <c r="L4" s="497"/>
      <c r="M4" s="497"/>
    </row>
    <row r="5" spans="1:48" s="88" customFormat="1" ht="16.5" customHeight="1">
      <c r="A5" s="496" t="s">
        <v>1220</v>
      </c>
      <c r="B5" s="496"/>
      <c r="C5" s="493" t="s">
        <v>4822</v>
      </c>
      <c r="D5" s="493"/>
      <c r="E5" s="493"/>
      <c r="F5" s="493"/>
      <c r="G5" s="493"/>
      <c r="H5" s="493"/>
      <c r="I5" s="493"/>
      <c r="J5" s="493"/>
      <c r="K5" s="493"/>
      <c r="L5" s="493"/>
      <c r="M5" s="493"/>
    </row>
    <row r="6" spans="1:48" s="88" customFormat="1" ht="16.5" customHeight="1">
      <c r="A6" s="496" t="s">
        <v>5785</v>
      </c>
      <c r="B6" s="496"/>
      <c r="C6" s="493" t="s">
        <v>4823</v>
      </c>
      <c r="D6" s="493"/>
      <c r="E6" s="493"/>
      <c r="F6" s="493"/>
      <c r="G6" s="493"/>
      <c r="H6" s="493"/>
      <c r="I6" s="493"/>
      <c r="J6" s="493"/>
      <c r="K6" s="493"/>
      <c r="L6" s="493"/>
      <c r="M6" s="493"/>
    </row>
    <row r="7" spans="1:48" s="88" customFormat="1" ht="24.75" customHeight="1">
      <c r="A7" s="89" t="s">
        <v>1223</v>
      </c>
      <c r="B7" s="92" t="s">
        <v>4824</v>
      </c>
      <c r="C7" s="493" t="s">
        <v>4825</v>
      </c>
      <c r="D7" s="493"/>
      <c r="E7" s="493"/>
      <c r="F7" s="493"/>
      <c r="G7" s="493"/>
      <c r="H7" s="493"/>
      <c r="I7" s="493"/>
      <c r="J7" s="493"/>
      <c r="K7" s="493"/>
      <c r="L7" s="493"/>
      <c r="M7" s="493"/>
    </row>
    <row r="8" spans="1:48" s="88" customFormat="1" ht="16.5" customHeight="1">
      <c r="A8" s="89"/>
      <c r="B8" s="92" t="s">
        <v>4826</v>
      </c>
      <c r="C8" s="493" t="s">
        <v>4827</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48.75" customHeight="1">
      <c r="A11" s="89" t="s">
        <v>1229</v>
      </c>
      <c r="B11" s="673" t="s">
        <v>4828</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E16" s="16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f>DOLLARDE(1.02,16)</f>
        <v>1.125</v>
      </c>
      <c r="C17" s="93" t="s">
        <v>4829</v>
      </c>
      <c r="E17" s="161"/>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f>DOLLARDE(1.1,32)</f>
        <v>1.3125000000000002</v>
      </c>
      <c r="C18" s="93" t="s">
        <v>4830</v>
      </c>
      <c r="E18" s="16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E21" s="93" t="s">
        <v>3592</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609</v>
      </c>
      <c r="B100" s="498"/>
      <c r="C100" s="499"/>
      <c r="D100" s="87"/>
      <c r="E100" s="500" t="str">
        <f>HYPERLINK("#目录!A403","跳转回到目录页")</f>
        <v>跳转回到目录页</v>
      </c>
      <c r="F100" s="501"/>
    </row>
    <row r="101" spans="1:13" s="88" customFormat="1" ht="26.25" customHeight="1">
      <c r="A101" s="502" t="s">
        <v>1216</v>
      </c>
      <c r="B101" s="502"/>
      <c r="C101" s="503" t="s">
        <v>610</v>
      </c>
      <c r="D101" s="503"/>
      <c r="E101" s="503"/>
      <c r="F101" s="503"/>
      <c r="G101" s="503"/>
      <c r="H101" s="503"/>
      <c r="I101" s="503"/>
      <c r="J101" s="503"/>
      <c r="K101" s="503"/>
      <c r="L101" s="503"/>
      <c r="M101" s="503"/>
    </row>
    <row r="102" spans="1:13" s="88" customFormat="1" ht="16.5" customHeight="1">
      <c r="A102" s="496" t="s">
        <v>1217</v>
      </c>
      <c r="B102" s="496"/>
      <c r="C102" s="493" t="s">
        <v>4831</v>
      </c>
      <c r="D102" s="493"/>
      <c r="E102" s="493"/>
      <c r="F102" s="493"/>
      <c r="G102" s="493"/>
      <c r="H102" s="493"/>
      <c r="I102" s="493"/>
      <c r="J102" s="493"/>
      <c r="K102" s="493"/>
      <c r="L102" s="493"/>
      <c r="M102" s="493"/>
    </row>
    <row r="103" spans="1:13" s="88" customFormat="1" ht="16.5" customHeight="1">
      <c r="A103" s="496" t="s">
        <v>5786</v>
      </c>
      <c r="B103" s="496"/>
      <c r="C103" s="497" t="s">
        <v>610</v>
      </c>
      <c r="D103" s="497"/>
      <c r="E103" s="497"/>
      <c r="F103" s="497"/>
      <c r="G103" s="497"/>
      <c r="H103" s="497"/>
      <c r="I103" s="497"/>
      <c r="J103" s="497"/>
      <c r="K103" s="497"/>
      <c r="L103" s="497"/>
      <c r="M103" s="497"/>
    </row>
    <row r="104" spans="1:13" s="88" customFormat="1" ht="16.5" customHeight="1">
      <c r="A104" s="496" t="s">
        <v>1220</v>
      </c>
      <c r="B104" s="496"/>
      <c r="C104" s="493" t="s">
        <v>4832</v>
      </c>
      <c r="D104" s="493"/>
      <c r="E104" s="493"/>
      <c r="F104" s="493"/>
      <c r="G104" s="493"/>
      <c r="H104" s="493"/>
      <c r="I104" s="493"/>
      <c r="J104" s="493"/>
      <c r="K104" s="493"/>
      <c r="L104" s="493"/>
      <c r="M104" s="493"/>
    </row>
    <row r="105" spans="1:13" s="88" customFormat="1" ht="16.5" customHeight="1">
      <c r="A105" s="496" t="s">
        <v>5785</v>
      </c>
      <c r="B105" s="496"/>
      <c r="C105" s="493" t="s">
        <v>4833</v>
      </c>
      <c r="D105" s="493"/>
      <c r="E105" s="493"/>
      <c r="F105" s="493"/>
      <c r="G105" s="493"/>
      <c r="H105" s="493"/>
      <c r="I105" s="493"/>
      <c r="J105" s="493"/>
      <c r="K105" s="493"/>
      <c r="L105" s="493"/>
      <c r="M105" s="493"/>
    </row>
    <row r="106" spans="1:13" s="88" customFormat="1" ht="24.75" customHeight="1">
      <c r="A106" s="89" t="s">
        <v>1223</v>
      </c>
      <c r="B106" s="92" t="s">
        <v>4834</v>
      </c>
      <c r="C106" s="493" t="s">
        <v>4835</v>
      </c>
      <c r="D106" s="493"/>
      <c r="E106" s="493"/>
      <c r="F106" s="493"/>
      <c r="G106" s="493"/>
      <c r="H106" s="493"/>
      <c r="I106" s="493"/>
      <c r="J106" s="493"/>
      <c r="K106" s="493"/>
      <c r="L106" s="493"/>
      <c r="M106" s="493"/>
    </row>
    <row r="107" spans="1:13" s="88" customFormat="1" ht="16.5" customHeight="1">
      <c r="A107" s="89"/>
      <c r="B107" s="92" t="s">
        <v>4826</v>
      </c>
      <c r="C107" s="493" t="s">
        <v>4827</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51" customHeight="1">
      <c r="A110" s="89" t="s">
        <v>1229</v>
      </c>
      <c r="B110" s="673" t="s">
        <v>4836</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10" s="93" customFormat="1" ht="16.5" customHeight="1">
      <c r="A113" s="94" t="s">
        <v>1232</v>
      </c>
      <c r="B113" s="93" t="s">
        <v>1773</v>
      </c>
    </row>
    <row r="114" spans="1:10" ht="16.5" customHeight="1"/>
    <row r="115" spans="1:10" ht="16.5" customHeight="1">
      <c r="B115" s="93"/>
      <c r="C115" s="93"/>
      <c r="D115" s="93"/>
      <c r="E115" s="93"/>
      <c r="F115" s="93"/>
      <c r="G115" s="93"/>
      <c r="H115" s="93"/>
      <c r="I115" s="93"/>
      <c r="J115" s="93"/>
    </row>
    <row r="116" spans="1:10" ht="16.5" customHeight="1">
      <c r="B116" s="93">
        <f>DOLLARFR(1.125,16)</f>
        <v>1.02</v>
      </c>
      <c r="C116" s="93" t="s">
        <v>4837</v>
      </c>
      <c r="D116" s="93"/>
      <c r="E116" s="93"/>
      <c r="F116" s="93"/>
      <c r="G116" s="93"/>
      <c r="H116" s="93"/>
      <c r="I116" s="93"/>
      <c r="J116" s="93"/>
    </row>
    <row r="117" spans="1:10" ht="16.5" customHeight="1">
      <c r="B117" s="93">
        <f>DOLLARFR(1.125,32)</f>
        <v>1.04</v>
      </c>
      <c r="C117" s="93" t="s">
        <v>4838</v>
      </c>
      <c r="D117" s="93"/>
      <c r="E117" s="93"/>
      <c r="F117" s="93"/>
      <c r="G117" s="93"/>
      <c r="H117" s="93"/>
      <c r="I117" s="93"/>
      <c r="J117" s="93"/>
    </row>
    <row r="118" spans="1:10" ht="16.5" customHeight="1">
      <c r="B118" s="93"/>
      <c r="C118" s="93"/>
      <c r="D118" s="93"/>
      <c r="E118" s="93"/>
      <c r="F118" s="93"/>
      <c r="G118" s="93"/>
      <c r="H118" s="93"/>
      <c r="I118" s="93"/>
      <c r="J118" s="93"/>
    </row>
    <row r="119" spans="1:10" ht="16.5" customHeight="1">
      <c r="B119" s="93"/>
      <c r="C119" s="93"/>
      <c r="D119" s="93"/>
      <c r="E119" s="93"/>
      <c r="F119" s="93"/>
      <c r="G119" s="93"/>
      <c r="H119" s="93"/>
      <c r="I119" s="93"/>
      <c r="J119" s="93"/>
    </row>
    <row r="120" spans="1:10" ht="16.5" customHeight="1">
      <c r="B120" s="93"/>
      <c r="C120" s="93"/>
      <c r="D120" s="93"/>
      <c r="E120" s="93"/>
      <c r="F120" s="93"/>
      <c r="G120" s="93"/>
      <c r="H120" s="93"/>
      <c r="I120" s="93"/>
      <c r="J120" s="93"/>
    </row>
    <row r="121" spans="1:10" ht="16.5" customHeight="1"/>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M64"/>
  <sheetViews>
    <sheetView workbookViewId="0">
      <selection activeCell="B7" sqref="B7:C7"/>
    </sheetView>
  </sheetViews>
  <sheetFormatPr defaultColWidth="9" defaultRowHeight="17.399999999999999"/>
  <cols>
    <col min="1" max="3" width="9.5" style="4" customWidth="1"/>
    <col min="4" max="13" width="9.19921875" style="4" customWidth="1"/>
    <col min="14" max="16384" width="9" style="4"/>
  </cols>
  <sheetData>
    <row r="1" spans="1:13" s="88" customFormat="1" ht="26.25" customHeight="1">
      <c r="A1" s="498" t="s">
        <v>92</v>
      </c>
      <c r="B1" s="498"/>
      <c r="C1" s="499"/>
      <c r="D1" s="87"/>
      <c r="E1" s="500" t="str">
        <f>HYPERLINK("#目录!A55","跳转回到目录页")</f>
        <v>跳转回到目录页</v>
      </c>
      <c r="F1" s="501"/>
    </row>
    <row r="2" spans="1:13" s="88" customFormat="1" ht="26.25" customHeight="1">
      <c r="A2" s="502" t="s">
        <v>1216</v>
      </c>
      <c r="B2" s="502"/>
      <c r="C2" s="503" t="s">
        <v>93</v>
      </c>
      <c r="D2" s="503"/>
      <c r="E2" s="503"/>
      <c r="F2" s="503"/>
      <c r="G2" s="503"/>
      <c r="H2" s="503"/>
      <c r="I2" s="503"/>
      <c r="J2" s="503"/>
      <c r="K2" s="503"/>
      <c r="L2" s="503"/>
      <c r="M2" s="503"/>
    </row>
    <row r="3" spans="1:13" s="88" customFormat="1" ht="16.5" customHeight="1">
      <c r="A3" s="496" t="s">
        <v>1217</v>
      </c>
      <c r="B3" s="496"/>
      <c r="C3" s="493" t="s">
        <v>1572</v>
      </c>
      <c r="D3" s="493"/>
      <c r="E3" s="493"/>
      <c r="F3" s="493"/>
      <c r="G3" s="493"/>
      <c r="H3" s="493"/>
      <c r="I3" s="493"/>
      <c r="J3" s="493"/>
      <c r="K3" s="493"/>
      <c r="L3" s="493"/>
      <c r="M3" s="493"/>
    </row>
    <row r="4" spans="1:13" s="88" customFormat="1" ht="16.5" customHeight="1">
      <c r="A4" s="496" t="s">
        <v>5786</v>
      </c>
      <c r="B4" s="496"/>
      <c r="C4" s="497" t="s">
        <v>1573</v>
      </c>
      <c r="D4" s="497"/>
      <c r="E4" s="497"/>
      <c r="F4" s="497"/>
      <c r="G4" s="497"/>
      <c r="H4" s="497"/>
      <c r="I4" s="497"/>
      <c r="J4" s="497"/>
      <c r="K4" s="497"/>
      <c r="L4" s="497"/>
      <c r="M4" s="497"/>
    </row>
    <row r="5" spans="1:13" s="88" customFormat="1" ht="16.5" customHeight="1">
      <c r="A5" s="496" t="s">
        <v>1220</v>
      </c>
      <c r="B5" s="496"/>
      <c r="C5" s="493" t="s">
        <v>1574</v>
      </c>
      <c r="D5" s="493"/>
      <c r="E5" s="493"/>
      <c r="F5" s="493"/>
      <c r="G5" s="493"/>
      <c r="H5" s="493"/>
      <c r="I5" s="493"/>
      <c r="J5" s="493"/>
      <c r="K5" s="493"/>
      <c r="L5" s="493"/>
      <c r="M5" s="493"/>
    </row>
    <row r="6" spans="1:13" s="88" customFormat="1" ht="16.5" customHeight="1">
      <c r="A6" s="496" t="s">
        <v>5785</v>
      </c>
      <c r="B6" s="496"/>
      <c r="C6" s="493" t="s">
        <v>1575</v>
      </c>
      <c r="D6" s="493"/>
      <c r="E6" s="493"/>
      <c r="F6" s="493"/>
      <c r="G6" s="493"/>
      <c r="H6" s="493"/>
      <c r="I6" s="493"/>
      <c r="J6" s="493"/>
      <c r="K6" s="493"/>
      <c r="L6" s="493"/>
      <c r="M6" s="493"/>
    </row>
    <row r="7" spans="1:13" s="88" customFormat="1" ht="16.5" customHeight="1">
      <c r="A7" s="89" t="s">
        <v>1223</v>
      </c>
      <c r="B7" s="92" t="s">
        <v>1576</v>
      </c>
      <c r="C7" s="493" t="s">
        <v>1577</v>
      </c>
      <c r="D7" s="493"/>
      <c r="E7" s="493"/>
      <c r="F7" s="493"/>
      <c r="G7" s="493"/>
      <c r="H7" s="493"/>
      <c r="I7" s="493"/>
      <c r="J7" s="493"/>
      <c r="K7" s="493"/>
      <c r="L7" s="493"/>
      <c r="M7" s="493"/>
    </row>
    <row r="8" spans="1:13" s="88" customFormat="1" ht="16.5" customHeight="1">
      <c r="A8" s="89" t="s">
        <v>1228</v>
      </c>
      <c r="B8" s="493" t="s">
        <v>1578</v>
      </c>
      <c r="C8" s="493"/>
      <c r="D8" s="493"/>
      <c r="E8" s="493"/>
      <c r="F8" s="493"/>
      <c r="G8" s="493"/>
      <c r="H8" s="493"/>
      <c r="I8" s="493"/>
      <c r="J8" s="493"/>
      <c r="K8" s="493"/>
      <c r="L8" s="493"/>
      <c r="M8" s="493"/>
    </row>
    <row r="9" spans="1:13" ht="40.5" customHeight="1">
      <c r="A9" s="89" t="s">
        <v>1229</v>
      </c>
      <c r="B9" s="493" t="s">
        <v>1579</v>
      </c>
      <c r="C9" s="493"/>
      <c r="D9" s="493"/>
      <c r="E9" s="493"/>
      <c r="F9" s="493"/>
      <c r="G9" s="493"/>
      <c r="H9" s="493"/>
      <c r="I9" s="493"/>
      <c r="J9" s="493"/>
      <c r="K9" s="493"/>
      <c r="L9" s="493"/>
      <c r="M9" s="493"/>
    </row>
    <row r="10" spans="1:13" ht="21" customHeight="1">
      <c r="B10" s="494" t="s">
        <v>1231</v>
      </c>
      <c r="C10" s="494"/>
      <c r="D10" s="494"/>
      <c r="E10" s="494"/>
      <c r="F10" s="494"/>
      <c r="G10" s="494"/>
      <c r="H10" s="494"/>
      <c r="I10" s="494"/>
      <c r="J10" s="494"/>
      <c r="K10" s="494"/>
      <c r="L10" s="495"/>
    </row>
    <row r="11" spans="1:13" s="93" customFormat="1" ht="16.5" customHeight="1"/>
    <row r="12" spans="1:13" s="93" customFormat="1" ht="16.5" customHeight="1">
      <c r="A12" s="94" t="s">
        <v>1232</v>
      </c>
      <c r="B12" s="93" t="s">
        <v>1580</v>
      </c>
      <c r="H12" s="93" t="s">
        <v>1581</v>
      </c>
    </row>
    <row r="13" spans="1:13" s="93" customFormat="1" ht="16.5" customHeight="1">
      <c r="B13" s="94" t="s">
        <v>1431</v>
      </c>
      <c r="C13" s="104" t="s">
        <v>1238</v>
      </c>
      <c r="E13" s="518" t="s">
        <v>27</v>
      </c>
      <c r="F13" s="518"/>
      <c r="H13" s="94" t="s">
        <v>1431</v>
      </c>
      <c r="I13" s="104" t="s">
        <v>1238</v>
      </c>
      <c r="K13" s="518" t="s">
        <v>27</v>
      </c>
      <c r="L13" s="518"/>
    </row>
    <row r="14" spans="1:13" s="93" customFormat="1" ht="16.5" customHeight="1">
      <c r="B14" s="93">
        <f>SUM(6)</f>
        <v>6</v>
      </c>
      <c r="C14" s="331" t="s">
        <v>1582</v>
      </c>
      <c r="D14" s="94"/>
      <c r="E14" s="549" t="s">
        <v>1583</v>
      </c>
      <c r="F14" s="549"/>
      <c r="H14" s="93">
        <f>SUM(6,8)</f>
        <v>14</v>
      </c>
      <c r="I14" s="332" t="s">
        <v>1584</v>
      </c>
      <c r="J14" s="94"/>
      <c r="K14" s="549" t="s">
        <v>1585</v>
      </c>
      <c r="L14" s="549"/>
    </row>
    <row r="15" spans="1:13" s="93" customFormat="1" ht="16.5" customHeight="1">
      <c r="B15" s="93">
        <f>SUM(B14)</f>
        <v>6</v>
      </c>
      <c r="C15" s="331" t="s">
        <v>1586</v>
      </c>
      <c r="E15" s="550" t="s">
        <v>1587</v>
      </c>
      <c r="F15" s="550"/>
      <c r="G15" s="148"/>
      <c r="H15" s="93">
        <f>SUM(B14,H14,B15)</f>
        <v>26</v>
      </c>
      <c r="I15" s="332" t="s">
        <v>1588</v>
      </c>
      <c r="K15" s="550" t="s">
        <v>1589</v>
      </c>
      <c r="L15" s="550"/>
    </row>
    <row r="16" spans="1:13" s="93" customFormat="1" ht="16.5" customHeight="1">
      <c r="B16" s="93">
        <f>SUM(B14:B15)</f>
        <v>12</v>
      </c>
      <c r="C16" s="331" t="s">
        <v>1590</v>
      </c>
      <c r="E16" s="551" t="s">
        <v>1591</v>
      </c>
      <c r="F16" s="551"/>
      <c r="G16" s="323"/>
      <c r="H16" s="93">
        <f>SUM(B14:B16,H14:H15)</f>
        <v>64</v>
      </c>
      <c r="I16" s="332" t="s">
        <v>1592</v>
      </c>
      <c r="K16" s="551" t="s">
        <v>1593</v>
      </c>
      <c r="L16" s="551"/>
    </row>
    <row r="17" spans="1:13" s="93" customFormat="1" ht="16.5" customHeight="1">
      <c r="B17" s="93">
        <f>SUM(Y:Y)</f>
        <v>0</v>
      </c>
      <c r="C17" s="332" t="s">
        <v>1594</v>
      </c>
      <c r="E17" s="550" t="s">
        <v>1595</v>
      </c>
      <c r="F17" s="550"/>
      <c r="G17" s="148"/>
      <c r="H17" s="93">
        <f>SUM(D:D,G:G)</f>
        <v>533</v>
      </c>
      <c r="I17" s="332" t="s">
        <v>1596</v>
      </c>
      <c r="K17" s="550" t="s">
        <v>1597</v>
      </c>
      <c r="L17" s="550"/>
    </row>
    <row r="18" spans="1:13" s="93" customFormat="1" ht="16.5" customHeight="1">
      <c r="B18" s="93">
        <f>SUM(11:11)</f>
        <v>0</v>
      </c>
      <c r="C18" s="332" t="s">
        <v>1598</v>
      </c>
      <c r="E18" s="550" t="s">
        <v>1599</v>
      </c>
      <c r="F18" s="550"/>
      <c r="G18" s="148"/>
      <c r="H18" s="93" t="e">
        <f>SUM(#REF!,#REF!)</f>
        <v>#REF!</v>
      </c>
      <c r="I18" s="332" t="s">
        <v>1600</v>
      </c>
      <c r="K18" s="550" t="s">
        <v>1601</v>
      </c>
      <c r="L18" s="550"/>
    </row>
    <row r="19" spans="1:13" s="93" customFormat="1" ht="16.5" customHeight="1">
      <c r="H19" s="552" t="s">
        <v>1602</v>
      </c>
      <c r="I19" s="553"/>
      <c r="J19" s="553"/>
      <c r="K19" s="93" t="s">
        <v>1603</v>
      </c>
    </row>
    <row r="20" spans="1:13" s="93" customFormat="1" ht="16.5" customHeight="1">
      <c r="I20" s="332" t="s">
        <v>1604</v>
      </c>
      <c r="K20" s="93" t="s">
        <v>1605</v>
      </c>
    </row>
    <row r="21" spans="1:13" s="93" customFormat="1" ht="16.5" customHeight="1">
      <c r="A21" s="94" t="s">
        <v>1244</v>
      </c>
    </row>
    <row r="22" spans="1:13" s="93" customFormat="1" ht="16.5" customHeight="1">
      <c r="B22" s="95" t="s">
        <v>1606</v>
      </c>
      <c r="C22" s="96" t="s">
        <v>1246</v>
      </c>
      <c r="D22" s="96" t="s">
        <v>1607</v>
      </c>
      <c r="E22" s="96" t="s">
        <v>1608</v>
      </c>
      <c r="F22" s="97" t="s">
        <v>1609</v>
      </c>
    </row>
    <row r="23" spans="1:13" s="93" customFormat="1" ht="16.5" customHeight="1">
      <c r="B23" s="111" t="s">
        <v>1375</v>
      </c>
      <c r="C23" s="333"/>
      <c r="D23" s="333"/>
      <c r="E23" s="333"/>
      <c r="F23" s="334"/>
      <c r="H23" s="95" t="s">
        <v>1610</v>
      </c>
      <c r="I23" s="96" t="s">
        <v>1456</v>
      </c>
      <c r="J23" s="547" t="s">
        <v>1238</v>
      </c>
      <c r="K23" s="547"/>
      <c r="L23" s="547"/>
      <c r="M23" s="548"/>
    </row>
    <row r="24" spans="1:13" s="93" customFormat="1" ht="16.5" customHeight="1">
      <c r="B24" s="111">
        <v>1655</v>
      </c>
      <c r="C24" s="335" t="s">
        <v>1611</v>
      </c>
      <c r="D24" s="100" t="s">
        <v>1612</v>
      </c>
      <c r="E24" s="100" t="s">
        <v>1613</v>
      </c>
      <c r="F24" s="112">
        <v>96</v>
      </c>
      <c r="G24" s="116" t="s">
        <v>1614</v>
      </c>
      <c r="H24" s="336" t="s">
        <v>1615</v>
      </c>
      <c r="I24" s="110">
        <f>SUM(F24:F33)</f>
        <v>863</v>
      </c>
      <c r="J24" s="544" t="s">
        <v>1616</v>
      </c>
      <c r="K24" s="544"/>
      <c r="L24" s="544"/>
      <c r="M24" s="545"/>
    </row>
    <row r="25" spans="1:13" s="93" customFormat="1" ht="16.5" customHeight="1">
      <c r="B25" s="111">
        <v>1656</v>
      </c>
      <c r="C25" s="335" t="s">
        <v>1617</v>
      </c>
      <c r="D25" s="100" t="s">
        <v>1618</v>
      </c>
      <c r="E25" s="100" t="s">
        <v>1613</v>
      </c>
      <c r="F25" s="112">
        <v>88</v>
      </c>
      <c r="G25" s="116" t="s">
        <v>1619</v>
      </c>
      <c r="H25" s="336" t="s">
        <v>1620</v>
      </c>
      <c r="I25" s="110">
        <f t="array" ref="I25">SUM((D24:D33="男")*1)</f>
        <v>4</v>
      </c>
      <c r="J25" s="544" t="s">
        <v>1621</v>
      </c>
      <c r="K25" s="544"/>
      <c r="L25" s="544"/>
      <c r="M25" s="545"/>
    </row>
    <row r="26" spans="1:13" s="93" customFormat="1" ht="16.5" customHeight="1">
      <c r="B26" s="111">
        <v>1657</v>
      </c>
      <c r="C26" s="335" t="s">
        <v>1622</v>
      </c>
      <c r="D26" s="100" t="s">
        <v>1612</v>
      </c>
      <c r="E26" s="100" t="s">
        <v>1613</v>
      </c>
      <c r="F26" s="112">
        <v>82</v>
      </c>
      <c r="G26" s="116" t="s">
        <v>1619</v>
      </c>
      <c r="H26" s="336" t="s">
        <v>1623</v>
      </c>
      <c r="I26" s="110">
        <f t="array" ref="I26">SUM((D24:D33="女")*1)</f>
        <v>6</v>
      </c>
      <c r="J26" s="544" t="s">
        <v>1624</v>
      </c>
      <c r="K26" s="544"/>
      <c r="L26" s="544"/>
      <c r="M26" s="545"/>
    </row>
    <row r="27" spans="1:13" s="93" customFormat="1" ht="16.5" customHeight="1">
      <c r="B27" s="111">
        <v>1658</v>
      </c>
      <c r="C27" s="335" t="s">
        <v>1625</v>
      </c>
      <c r="D27" s="100" t="s">
        <v>1618</v>
      </c>
      <c r="E27" s="100" t="s">
        <v>1613</v>
      </c>
      <c r="F27" s="112">
        <v>98</v>
      </c>
      <c r="G27" s="116" t="s">
        <v>1626</v>
      </c>
      <c r="H27" s="336" t="s">
        <v>1627</v>
      </c>
      <c r="I27" s="110">
        <f t="array" ref="I27">SUM((E24:E33="一组")*(D24:D33="男"))</f>
        <v>2</v>
      </c>
      <c r="J27" s="546" t="s">
        <v>1628</v>
      </c>
      <c r="K27" s="544"/>
      <c r="L27" s="544"/>
      <c r="M27" s="545"/>
    </row>
    <row r="28" spans="1:13" s="93" customFormat="1" ht="16.5" customHeight="1">
      <c r="B28" s="111">
        <v>1659</v>
      </c>
      <c r="C28" s="335" t="s">
        <v>1629</v>
      </c>
      <c r="D28" s="100" t="s">
        <v>1618</v>
      </c>
      <c r="E28" s="100" t="s">
        <v>1630</v>
      </c>
      <c r="F28" s="112">
        <v>95</v>
      </c>
      <c r="G28" s="337" t="s">
        <v>1631</v>
      </c>
      <c r="H28" s="336" t="s">
        <v>1632</v>
      </c>
      <c r="I28" s="110">
        <f t="array" ref="I28">SUM((E24:E33="一组")*(D24:D33="男")*F24:F33)</f>
        <v>178</v>
      </c>
      <c r="J28" s="338" t="s">
        <v>1633</v>
      </c>
      <c r="K28" s="339"/>
      <c r="L28" s="339"/>
      <c r="M28" s="340"/>
    </row>
    <row r="29" spans="1:13" s="93" customFormat="1" ht="16.5" customHeight="1">
      <c r="B29" s="111">
        <v>1660</v>
      </c>
      <c r="C29" s="335" t="s">
        <v>1634</v>
      </c>
      <c r="D29" s="100" t="s">
        <v>1618</v>
      </c>
      <c r="E29" s="100" t="s">
        <v>1630</v>
      </c>
      <c r="F29" s="112">
        <v>89</v>
      </c>
      <c r="G29" s="288" t="s">
        <v>1635</v>
      </c>
      <c r="H29" s="336" t="s">
        <v>1632</v>
      </c>
      <c r="I29" s="93">
        <f t="array" ref="I29">SUM((E24:E33&amp;D24:D33="一组男")*F24:F33)</f>
        <v>178</v>
      </c>
      <c r="J29" s="546" t="s">
        <v>1636</v>
      </c>
      <c r="K29" s="544"/>
      <c r="L29" s="544"/>
      <c r="M29" s="545"/>
    </row>
    <row r="30" spans="1:13" s="93" customFormat="1" ht="16.5" customHeight="1">
      <c r="B30" s="111">
        <v>1661</v>
      </c>
      <c r="C30" s="335" t="s">
        <v>1637</v>
      </c>
      <c r="D30" s="100" t="s">
        <v>1618</v>
      </c>
      <c r="E30" s="100" t="s">
        <v>1630</v>
      </c>
      <c r="F30" s="112">
        <v>72</v>
      </c>
      <c r="G30" s="337" t="s">
        <v>1631</v>
      </c>
      <c r="H30" s="341" t="s">
        <v>1638</v>
      </c>
      <c r="I30" s="110">
        <f t="array" ref="I30">SUM((F24:F33&gt;80)*(F24:F33&lt;90)*F24:F33)</f>
        <v>342</v>
      </c>
      <c r="J30" s="546" t="s">
        <v>1639</v>
      </c>
      <c r="K30" s="544"/>
      <c r="L30" s="544"/>
      <c r="M30" s="545"/>
    </row>
    <row r="31" spans="1:13" s="93" customFormat="1" ht="16.5" customHeight="1">
      <c r="A31" s="94"/>
      <c r="B31" s="111">
        <v>1662</v>
      </c>
      <c r="C31" s="335" t="s">
        <v>1640</v>
      </c>
      <c r="D31" s="100" t="s">
        <v>1612</v>
      </c>
      <c r="E31" s="100" t="s">
        <v>1630</v>
      </c>
      <c r="F31" s="112">
        <v>83</v>
      </c>
      <c r="G31" s="116"/>
      <c r="H31" s="336" t="s">
        <v>1641</v>
      </c>
      <c r="I31" s="110"/>
      <c r="J31" s="544"/>
      <c r="K31" s="544"/>
      <c r="L31" s="544"/>
      <c r="M31" s="545"/>
    </row>
    <row r="32" spans="1:13" s="93" customFormat="1" ht="16.5" customHeight="1">
      <c r="B32" s="111">
        <v>1663</v>
      </c>
      <c r="C32" s="335" t="s">
        <v>1642</v>
      </c>
      <c r="D32" s="100" t="s">
        <v>1612</v>
      </c>
      <c r="E32" s="100" t="s">
        <v>1630</v>
      </c>
      <c r="F32" s="112">
        <v>66</v>
      </c>
      <c r="G32" s="342" t="s">
        <v>1643</v>
      </c>
      <c r="H32" s="342" t="s">
        <v>1643</v>
      </c>
      <c r="I32" s="110">
        <f>SUM(E24:F33 F26:G27)</f>
        <v>180</v>
      </c>
      <c r="J32" s="546" t="s">
        <v>1644</v>
      </c>
      <c r="K32" s="544"/>
      <c r="L32" s="544"/>
      <c r="M32" s="545"/>
    </row>
    <row r="33" spans="1:13" s="93" customFormat="1" ht="16.5" customHeight="1">
      <c r="B33" s="111">
        <v>1664</v>
      </c>
      <c r="C33" s="335" t="s">
        <v>1645</v>
      </c>
      <c r="D33" s="333" t="s">
        <v>1618</v>
      </c>
      <c r="E33" s="100" t="s">
        <v>1630</v>
      </c>
      <c r="F33" s="334">
        <v>94</v>
      </c>
      <c r="G33" s="116"/>
      <c r="H33" s="336"/>
      <c r="I33" s="110"/>
      <c r="J33" s="544"/>
      <c r="K33" s="544"/>
      <c r="L33" s="544"/>
      <c r="M33" s="545"/>
    </row>
    <row r="34" spans="1:13" s="93" customFormat="1" ht="16.5" customHeight="1">
      <c r="B34" s="151" t="s">
        <v>1375</v>
      </c>
      <c r="C34" s="343"/>
      <c r="D34" s="113"/>
      <c r="E34" s="113"/>
      <c r="F34" s="344"/>
      <c r="G34" s="116"/>
      <c r="H34" s="345"/>
      <c r="I34" s="346"/>
      <c r="J34" s="544"/>
      <c r="K34" s="544"/>
      <c r="L34" s="544"/>
      <c r="M34" s="545"/>
    </row>
    <row r="35" spans="1:13" s="93" customFormat="1" ht="16.5" customHeight="1">
      <c r="B35" s="94"/>
      <c r="C35" s="312"/>
      <c r="E35" s="312"/>
      <c r="F35" s="94"/>
    </row>
    <row r="36" spans="1:13" s="93" customFormat="1" ht="16.5" customHeight="1">
      <c r="B36" s="497" t="s">
        <v>1646</v>
      </c>
      <c r="C36" s="497"/>
      <c r="D36" s="497"/>
      <c r="E36" s="497"/>
      <c r="F36" s="497"/>
      <c r="G36" s="497"/>
      <c r="H36" s="497"/>
      <c r="I36" s="497"/>
      <c r="J36" s="497"/>
      <c r="K36" s="497"/>
      <c r="L36" s="497"/>
      <c r="M36" s="497"/>
    </row>
    <row r="37" spans="1:13" s="93" customFormat="1" ht="16.5" customHeight="1">
      <c r="B37" s="93" t="s">
        <v>1647</v>
      </c>
    </row>
    <row r="38" spans="1:13" s="93" customFormat="1" ht="16.5" customHeight="1">
      <c r="B38" s="93" t="s">
        <v>1648</v>
      </c>
      <c r="C38" s="312"/>
    </row>
    <row r="39" spans="1:13" s="93" customFormat="1" ht="16.5" customHeight="1">
      <c r="A39" s="94" t="s">
        <v>1255</v>
      </c>
      <c r="L39" s="4"/>
    </row>
    <row r="40" spans="1:13" s="93" customFormat="1" ht="22.5" customHeight="1">
      <c r="B40" s="543" t="s">
        <v>1649</v>
      </c>
      <c r="C40" s="543"/>
      <c r="D40" s="543"/>
      <c r="E40" s="543"/>
      <c r="F40" s="543"/>
      <c r="G40" s="543"/>
      <c r="H40" s="543"/>
      <c r="I40" s="543"/>
    </row>
    <row r="41" spans="1:13" s="93" customFormat="1" ht="16.5" customHeight="1">
      <c r="B41" s="347" t="s">
        <v>1650</v>
      </c>
      <c r="C41" s="348" t="s">
        <v>1651</v>
      </c>
      <c r="D41" s="348" t="s">
        <v>1652</v>
      </c>
      <c r="E41" s="348" t="s">
        <v>1653</v>
      </c>
      <c r="F41" s="348" t="s">
        <v>1654</v>
      </c>
      <c r="G41" s="348" t="s">
        <v>1655</v>
      </c>
      <c r="H41" s="348" t="s">
        <v>1656</v>
      </c>
      <c r="I41" s="349"/>
    </row>
    <row r="42" spans="1:13" s="93" customFormat="1" ht="16.5" customHeight="1">
      <c r="B42" s="350" t="s">
        <v>1657</v>
      </c>
      <c r="C42" s="351">
        <v>139</v>
      </c>
      <c r="D42" s="351">
        <v>35</v>
      </c>
      <c r="E42" s="351">
        <v>186</v>
      </c>
      <c r="F42" s="351">
        <v>358</v>
      </c>
      <c r="G42" s="351">
        <v>68</v>
      </c>
      <c r="H42" s="351">
        <v>169</v>
      </c>
      <c r="I42" s="352"/>
      <c r="J42" s="104"/>
    </row>
    <row r="43" spans="1:13" ht="16.5" customHeight="1">
      <c r="J43" s="104"/>
    </row>
    <row r="44" spans="1:13" s="93" customFormat="1" ht="33.75" customHeight="1">
      <c r="B44" s="347"/>
      <c r="C44" s="348" t="s">
        <v>1651</v>
      </c>
      <c r="D44" s="348" t="s">
        <v>1652</v>
      </c>
      <c r="E44" s="348" t="s">
        <v>1653</v>
      </c>
      <c r="F44" s="348" t="s">
        <v>1654</v>
      </c>
      <c r="G44" s="348" t="s">
        <v>1655</v>
      </c>
      <c r="H44" s="348" t="s">
        <v>1656</v>
      </c>
      <c r="I44" s="349" t="s">
        <v>1521</v>
      </c>
      <c r="J44" s="104" t="s">
        <v>1238</v>
      </c>
    </row>
    <row r="45" spans="1:13" s="93" customFormat="1" ht="16.5" customHeight="1">
      <c r="B45" s="353">
        <v>40702</v>
      </c>
      <c r="C45" s="354">
        <v>29</v>
      </c>
      <c r="D45" s="354">
        <v>57</v>
      </c>
      <c r="E45" s="354">
        <v>52</v>
      </c>
      <c r="F45" s="354">
        <v>49</v>
      </c>
      <c r="G45" s="354">
        <v>29</v>
      </c>
      <c r="H45" s="354">
        <v>29</v>
      </c>
      <c r="I45" s="355">
        <f t="array" ref="I45">SUM($C$42:$H$42*C45:H45)</f>
        <v>40113</v>
      </c>
      <c r="J45" s="108" t="s">
        <v>1658</v>
      </c>
    </row>
    <row r="46" spans="1:13" s="93" customFormat="1" ht="16.5" customHeight="1">
      <c r="B46" s="353">
        <v>40703</v>
      </c>
      <c r="C46" s="354">
        <v>29</v>
      </c>
      <c r="D46" s="354">
        <v>33</v>
      </c>
      <c r="E46" s="354">
        <v>57</v>
      </c>
      <c r="F46" s="354">
        <v>54</v>
      </c>
      <c r="G46" s="354">
        <v>44</v>
      </c>
      <c r="H46" s="354">
        <v>31</v>
      </c>
      <c r="I46" s="355">
        <f t="array" ref="I46">SUM($C$42:$H$42*C46:H46)</f>
        <v>43351</v>
      </c>
      <c r="J46" s="93" t="s">
        <v>1659</v>
      </c>
    </row>
    <row r="47" spans="1:13" s="93" customFormat="1" ht="16.5" customHeight="1">
      <c r="B47" s="353">
        <v>40704</v>
      </c>
      <c r="C47" s="354">
        <v>28</v>
      </c>
      <c r="D47" s="354">
        <v>30</v>
      </c>
      <c r="E47" s="354">
        <v>45</v>
      </c>
      <c r="F47" s="354">
        <v>42</v>
      </c>
      <c r="G47" s="354">
        <v>30</v>
      </c>
      <c r="H47" s="354">
        <v>53</v>
      </c>
      <c r="I47" s="355">
        <f t="array" ref="I47">SUM($C$42:$H$42*C47:H47)</f>
        <v>39345</v>
      </c>
    </row>
    <row r="48" spans="1:13" s="93" customFormat="1" ht="16.5" customHeight="1">
      <c r="B48" s="353">
        <v>40705</v>
      </c>
      <c r="C48" s="354">
        <v>40</v>
      </c>
      <c r="D48" s="354">
        <v>37</v>
      </c>
      <c r="E48" s="354">
        <v>27</v>
      </c>
      <c r="F48" s="354">
        <v>27</v>
      </c>
      <c r="G48" s="354">
        <v>34</v>
      </c>
      <c r="H48" s="354">
        <v>48</v>
      </c>
      <c r="I48" s="355">
        <f t="array" ref="I48">SUM($C$42:$H$42*C48:H48)</f>
        <v>31967</v>
      </c>
    </row>
    <row r="49" spans="1:13" s="93" customFormat="1" ht="16.5" customHeight="1">
      <c r="B49" s="353">
        <v>40706</v>
      </c>
      <c r="C49" s="354">
        <v>53</v>
      </c>
      <c r="D49" s="354">
        <v>35</v>
      </c>
      <c r="E49" s="354">
        <v>37</v>
      </c>
      <c r="F49" s="354">
        <v>54</v>
      </c>
      <c r="G49" s="354">
        <v>26</v>
      </c>
      <c r="H49" s="354">
        <v>30</v>
      </c>
      <c r="I49" s="355">
        <f t="array" ref="I49">SUM($C$42:$H$42*C49:H49)</f>
        <v>41644</v>
      </c>
    </row>
    <row r="50" spans="1:13" s="93" customFormat="1" ht="16.5" customHeight="1">
      <c r="B50" s="356">
        <v>40707</v>
      </c>
      <c r="C50" s="351">
        <v>52</v>
      </c>
      <c r="D50" s="351">
        <v>34</v>
      </c>
      <c r="E50" s="351">
        <v>48</v>
      </c>
      <c r="F50" s="351">
        <v>35</v>
      </c>
      <c r="G50" s="351">
        <v>41</v>
      </c>
      <c r="H50" s="351">
        <v>34</v>
      </c>
      <c r="I50" s="355">
        <f t="array" ref="I50">SUM($C$42:$H$42*C50:H50)</f>
        <v>38410</v>
      </c>
    </row>
    <row r="51" spans="1:13" s="93" customFormat="1" ht="16.5" customHeight="1"/>
    <row r="52" spans="1:13" s="93" customFormat="1" ht="16.5" customHeight="1"/>
    <row r="53" spans="1:13" s="93" customFormat="1" ht="16.5" customHeight="1">
      <c r="A53" s="94" t="s">
        <v>1660</v>
      </c>
      <c r="B53" s="93" t="s">
        <v>1661</v>
      </c>
    </row>
    <row r="54" spans="1:13" s="93" customFormat="1" ht="16.5" customHeight="1">
      <c r="B54" s="288" t="s">
        <v>1662</v>
      </c>
      <c r="C54" s="104" t="s">
        <v>1238</v>
      </c>
    </row>
    <row r="55" spans="1:13" s="93" customFormat="1" ht="16.5" customHeight="1">
      <c r="B55" s="93">
        <f>SUM(((C45,C46,C47,C48,C49,C50,D45,D46,D47,D48,D49,D50,E45,E46,E47,E48,E49,E50,F45,F46,F47,F48,F49,F50,G45,G46,G47,G48,G49,G50,H45,H46,H47,H48,H49,H50)))</f>
        <v>1413</v>
      </c>
      <c r="C55" s="108" t="s">
        <v>1663</v>
      </c>
    </row>
    <row r="56" spans="1:13" s="93" customFormat="1" ht="16.5" customHeight="1">
      <c r="B56" s="93">
        <f>SUM(C45:H50)</f>
        <v>1413</v>
      </c>
      <c r="C56" s="108" t="s">
        <v>1664</v>
      </c>
    </row>
    <row r="57" spans="1:13" s="93" customFormat="1" ht="16.5" customHeight="1"/>
    <row r="58" spans="1:13" ht="16.5" customHeight="1"/>
    <row r="59" spans="1:13" ht="16.5" customHeight="1">
      <c r="A59" s="94" t="s">
        <v>1665</v>
      </c>
      <c r="B59" s="93" t="s">
        <v>1666</v>
      </c>
      <c r="C59" s="93"/>
      <c r="D59" s="93"/>
      <c r="E59" s="93"/>
      <c r="F59" s="93"/>
      <c r="G59" s="93"/>
      <c r="H59" s="93"/>
      <c r="I59" s="93"/>
      <c r="J59" s="93"/>
      <c r="K59" s="93"/>
      <c r="L59" s="93"/>
      <c r="M59" s="93"/>
    </row>
    <row r="60" spans="1:13" ht="16.5" customHeight="1">
      <c r="A60" s="93"/>
      <c r="B60" s="93"/>
      <c r="C60" s="93"/>
      <c r="D60" s="93"/>
      <c r="E60" s="93"/>
      <c r="F60" s="93"/>
      <c r="G60" s="93"/>
      <c r="H60" s="93"/>
      <c r="I60" s="93"/>
      <c r="J60" s="93"/>
      <c r="K60" s="93"/>
      <c r="L60" s="93"/>
      <c r="M60" s="93"/>
    </row>
    <row r="61" spans="1:13" ht="16.5" customHeight="1">
      <c r="A61" s="93"/>
      <c r="B61" s="93" t="s">
        <v>5956</v>
      </c>
      <c r="C61" s="93"/>
      <c r="D61" s="93"/>
      <c r="E61" s="93"/>
      <c r="F61" s="93"/>
      <c r="G61" s="93"/>
      <c r="H61" s="93"/>
      <c r="I61" s="93"/>
      <c r="J61" s="93"/>
      <c r="K61" s="93"/>
      <c r="L61" s="93"/>
      <c r="M61" s="93"/>
    </row>
    <row r="62" spans="1:13" ht="16.5" customHeight="1">
      <c r="A62" s="93"/>
      <c r="B62" s="93" t="s">
        <v>1667</v>
      </c>
      <c r="C62" s="93"/>
      <c r="D62" s="93"/>
      <c r="E62" s="93"/>
      <c r="F62" s="93"/>
      <c r="G62" s="93"/>
      <c r="H62" s="93"/>
      <c r="I62" s="93"/>
      <c r="J62" s="93"/>
      <c r="K62" s="93"/>
      <c r="L62" s="93"/>
      <c r="M62" s="93"/>
    </row>
    <row r="63" spans="1:13" ht="16.5" customHeight="1">
      <c r="A63" s="93"/>
      <c r="B63" s="93" t="s">
        <v>5957</v>
      </c>
      <c r="C63" s="93"/>
      <c r="D63" s="143"/>
      <c r="E63" s="93"/>
      <c r="F63" s="93"/>
      <c r="G63" s="93"/>
      <c r="H63" s="93"/>
      <c r="I63" s="93"/>
      <c r="J63" s="93"/>
      <c r="K63" s="93"/>
      <c r="L63" s="93"/>
      <c r="M63" s="93"/>
    </row>
    <row r="64" spans="1:13" ht="16.5" customHeight="1">
      <c r="A64" s="93"/>
      <c r="B64" s="93"/>
      <c r="C64" s="93"/>
      <c r="D64" s="93"/>
      <c r="E64" s="93"/>
      <c r="F64" s="93"/>
      <c r="G64" s="93"/>
      <c r="H64" s="93"/>
      <c r="I64" s="93"/>
      <c r="J64" s="93"/>
      <c r="K64" s="93"/>
      <c r="L64" s="93"/>
      <c r="M64" s="93"/>
    </row>
  </sheetData>
  <mergeCells count="42">
    <mergeCell ref="A1:C1"/>
    <mergeCell ref="E1:F1"/>
    <mergeCell ref="A2:B2"/>
    <mergeCell ref="C2:M2"/>
    <mergeCell ref="A3:B3"/>
    <mergeCell ref="C3:M3"/>
    <mergeCell ref="A4:B4"/>
    <mergeCell ref="C4:M4"/>
    <mergeCell ref="A5:B5"/>
    <mergeCell ref="C5:M5"/>
    <mergeCell ref="A6:B6"/>
    <mergeCell ref="C6:M6"/>
    <mergeCell ref="C7:M7"/>
    <mergeCell ref="B8:M8"/>
    <mergeCell ref="B9:M9"/>
    <mergeCell ref="B10:L10"/>
    <mergeCell ref="E13:F13"/>
    <mergeCell ref="K13:L13"/>
    <mergeCell ref="J23:M23"/>
    <mergeCell ref="E14:F14"/>
    <mergeCell ref="K14:L14"/>
    <mergeCell ref="E15:F15"/>
    <mergeCell ref="K15:L15"/>
    <mergeCell ref="E16:F16"/>
    <mergeCell ref="K16:L16"/>
    <mergeCell ref="E17:F17"/>
    <mergeCell ref="K17:L17"/>
    <mergeCell ref="E18:F18"/>
    <mergeCell ref="K18:L18"/>
    <mergeCell ref="H19:J19"/>
    <mergeCell ref="B40:I40"/>
    <mergeCell ref="J24:M24"/>
    <mergeCell ref="J25:M25"/>
    <mergeCell ref="J26:M26"/>
    <mergeCell ref="J27:M27"/>
    <mergeCell ref="J29:M29"/>
    <mergeCell ref="J30:M30"/>
    <mergeCell ref="J31:M31"/>
    <mergeCell ref="J32:M32"/>
    <mergeCell ref="J33:M33"/>
    <mergeCell ref="J34:M34"/>
    <mergeCell ref="B36:M36"/>
  </mergeCells>
  <phoneticPr fontId="2" type="noConversion"/>
  <pageMargins left="0.75" right="0.75" top="1" bottom="1" header="0.5" footer="0.5"/>
  <pageSetup paperSize="9" orientation="portrait" horizontalDpi="1200" verticalDpi="1200"/>
  <headerFooter scaleWithDoc="0" alignWithMargins="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0"/>
  <dimension ref="A1:AV632"/>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1128</v>
      </c>
      <c r="B1" s="498"/>
      <c r="C1" s="499"/>
      <c r="D1" s="87"/>
      <c r="E1" s="500" t="str">
        <f>HYPERLINK("#目录!A405","跳转回到目录页")</f>
        <v>跳转回到目录页</v>
      </c>
      <c r="F1" s="501"/>
    </row>
    <row r="2" spans="1:48" s="88" customFormat="1" ht="26.25" customHeight="1">
      <c r="A2" s="502" t="s">
        <v>1216</v>
      </c>
      <c r="B2" s="502"/>
      <c r="C2" s="503" t="s">
        <v>611</v>
      </c>
      <c r="D2" s="503"/>
      <c r="E2" s="503"/>
      <c r="F2" s="503"/>
      <c r="G2" s="503"/>
      <c r="H2" s="503"/>
      <c r="I2" s="503"/>
      <c r="J2" s="503"/>
      <c r="K2" s="503"/>
      <c r="L2" s="503"/>
      <c r="M2" s="503"/>
    </row>
    <row r="3" spans="1:48" s="88" customFormat="1" ht="16.5" customHeight="1">
      <c r="A3" s="496" t="s">
        <v>1217</v>
      </c>
      <c r="B3" s="496"/>
      <c r="C3" s="493" t="s">
        <v>4839</v>
      </c>
      <c r="D3" s="493"/>
      <c r="E3" s="493"/>
      <c r="F3" s="493"/>
      <c r="G3" s="493"/>
      <c r="H3" s="493"/>
      <c r="I3" s="493"/>
      <c r="J3" s="493"/>
      <c r="K3" s="493"/>
      <c r="L3" s="493"/>
      <c r="M3" s="493"/>
    </row>
    <row r="4" spans="1:48" s="88" customFormat="1" ht="16.5" customHeight="1">
      <c r="A4" s="496" t="s">
        <v>5786</v>
      </c>
      <c r="B4" s="496"/>
      <c r="C4" s="497" t="s">
        <v>611</v>
      </c>
      <c r="D4" s="497"/>
      <c r="E4" s="497"/>
      <c r="F4" s="497"/>
      <c r="G4" s="497"/>
      <c r="H4" s="497"/>
      <c r="I4" s="497"/>
      <c r="J4" s="497"/>
      <c r="K4" s="497"/>
      <c r="L4" s="497"/>
      <c r="M4" s="497"/>
    </row>
    <row r="5" spans="1:48" s="88" customFormat="1" ht="16.5" customHeight="1">
      <c r="A5" s="496" t="s">
        <v>1220</v>
      </c>
      <c r="B5" s="496"/>
      <c r="C5" s="493" t="s">
        <v>4840</v>
      </c>
      <c r="D5" s="493"/>
      <c r="E5" s="493"/>
      <c r="F5" s="493"/>
      <c r="G5" s="493"/>
      <c r="H5" s="493"/>
      <c r="I5" s="493"/>
      <c r="J5" s="493"/>
      <c r="K5" s="493"/>
      <c r="L5" s="493"/>
      <c r="M5" s="493"/>
    </row>
    <row r="6" spans="1:48" s="88" customFormat="1" ht="16.5" customHeight="1">
      <c r="A6" s="496" t="s">
        <v>5785</v>
      </c>
      <c r="B6" s="496"/>
      <c r="C6" s="493" t="s">
        <v>4841</v>
      </c>
      <c r="D6" s="493"/>
      <c r="E6" s="493"/>
      <c r="F6" s="493"/>
      <c r="G6" s="493"/>
      <c r="H6" s="493"/>
      <c r="I6" s="493"/>
      <c r="J6" s="493"/>
      <c r="K6" s="493"/>
      <c r="L6" s="493"/>
      <c r="M6" s="493"/>
    </row>
    <row r="7" spans="1:48" s="88" customFormat="1" ht="16.5" customHeight="1">
      <c r="A7" s="89" t="s">
        <v>1223</v>
      </c>
      <c r="B7" s="92" t="s">
        <v>4842</v>
      </c>
      <c r="C7" s="493" t="s">
        <v>4843</v>
      </c>
      <c r="D7" s="493"/>
      <c r="E7" s="493"/>
      <c r="F7" s="493"/>
      <c r="G7" s="493"/>
      <c r="H7" s="493"/>
      <c r="I7" s="493"/>
      <c r="J7" s="493"/>
      <c r="K7" s="493"/>
      <c r="L7" s="493"/>
      <c r="M7" s="493"/>
    </row>
    <row r="8" spans="1:48" s="88" customFormat="1" ht="16.5" customHeight="1">
      <c r="A8" s="89"/>
      <c r="B8" s="92" t="s">
        <v>4844</v>
      </c>
      <c r="C8" s="493" t="s">
        <v>4845</v>
      </c>
      <c r="D8" s="493"/>
      <c r="E8" s="493"/>
      <c r="F8" s="493"/>
      <c r="G8" s="493"/>
      <c r="H8" s="493"/>
      <c r="I8" s="493"/>
      <c r="J8" s="493"/>
      <c r="K8" s="493"/>
      <c r="L8" s="493"/>
      <c r="M8" s="493"/>
    </row>
    <row r="9" spans="1:48" s="88" customFormat="1" ht="16.5" customHeight="1">
      <c r="A9" s="89"/>
      <c r="B9" s="90" t="s">
        <v>4846</v>
      </c>
      <c r="C9" s="493" t="s">
        <v>4847</v>
      </c>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6.5" customHeight="1">
      <c r="A11" s="89" t="s">
        <v>1229</v>
      </c>
      <c r="B11" s="673"/>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518" t="s">
        <v>611</v>
      </c>
      <c r="C17" s="518"/>
      <c r="D17" s="518"/>
      <c r="E17" s="518"/>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116" t="s">
        <v>4848</v>
      </c>
      <c r="C18" s="94" t="s">
        <v>4849</v>
      </c>
      <c r="D18" s="94" t="s">
        <v>4850</v>
      </c>
      <c r="E18" s="94" t="s">
        <v>4851</v>
      </c>
      <c r="F18" s="104" t="s">
        <v>1238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v>30000</v>
      </c>
      <c r="C19" s="93">
        <v>3000</v>
      </c>
      <c r="D19" s="93">
        <v>4</v>
      </c>
      <c r="E19" s="156">
        <f>SLN(B19,C19,D19)</f>
        <v>6750</v>
      </c>
      <c r="F19" s="108" t="s">
        <v>4852</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E22" s="93" t="s">
        <v>3592</v>
      </c>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E24" s="93" t="s">
        <v>3592</v>
      </c>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E26" s="93" t="s">
        <v>3592</v>
      </c>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819</v>
      </c>
      <c r="B100" s="498"/>
      <c r="C100" s="499"/>
      <c r="D100" s="87"/>
      <c r="E100" s="500" t="str">
        <f>HYPERLINK("#目录!A407","跳转回到目录页")</f>
        <v>跳转回到目录页</v>
      </c>
      <c r="F100" s="501"/>
    </row>
    <row r="101" spans="1:13" s="88" customFormat="1" ht="26.25" customHeight="1">
      <c r="A101" s="502" t="s">
        <v>1216</v>
      </c>
      <c r="B101" s="502"/>
      <c r="C101" s="503" t="s">
        <v>612</v>
      </c>
      <c r="D101" s="503"/>
      <c r="E101" s="503"/>
      <c r="F101" s="503"/>
      <c r="G101" s="503"/>
      <c r="H101" s="503"/>
      <c r="I101" s="503"/>
      <c r="J101" s="503"/>
      <c r="K101" s="503"/>
      <c r="L101" s="503"/>
      <c r="M101" s="503"/>
    </row>
    <row r="102" spans="1:13" s="88" customFormat="1" ht="16.5" customHeight="1">
      <c r="A102" s="496" t="s">
        <v>1217</v>
      </c>
      <c r="B102" s="496"/>
      <c r="C102" s="493" t="s">
        <v>4853</v>
      </c>
      <c r="D102" s="493"/>
      <c r="E102" s="493"/>
      <c r="F102" s="493"/>
      <c r="G102" s="493"/>
      <c r="H102" s="493"/>
      <c r="I102" s="493"/>
      <c r="J102" s="493"/>
      <c r="K102" s="493"/>
      <c r="L102" s="493"/>
      <c r="M102" s="493"/>
    </row>
    <row r="103" spans="1:13" s="88" customFormat="1" ht="16.5" customHeight="1">
      <c r="A103" s="496" t="s">
        <v>5786</v>
      </c>
      <c r="B103" s="496"/>
      <c r="C103" s="497" t="s">
        <v>612</v>
      </c>
      <c r="D103" s="497"/>
      <c r="E103" s="497"/>
      <c r="F103" s="497"/>
      <c r="G103" s="497"/>
      <c r="H103" s="497"/>
      <c r="I103" s="497"/>
      <c r="J103" s="497"/>
      <c r="K103" s="497"/>
      <c r="L103" s="497"/>
      <c r="M103" s="497"/>
    </row>
    <row r="104" spans="1:13" s="88" customFormat="1" ht="16.5" customHeight="1">
      <c r="A104" s="496" t="s">
        <v>1220</v>
      </c>
      <c r="B104" s="496"/>
      <c r="C104" s="493" t="s">
        <v>4854</v>
      </c>
      <c r="D104" s="493"/>
      <c r="E104" s="493"/>
      <c r="F104" s="493"/>
      <c r="G104" s="493"/>
      <c r="H104" s="493"/>
      <c r="I104" s="493"/>
      <c r="J104" s="493"/>
      <c r="K104" s="493"/>
      <c r="L104" s="493"/>
      <c r="M104" s="493"/>
    </row>
    <row r="105" spans="1:13" s="88" customFormat="1" ht="16.5" customHeight="1">
      <c r="A105" s="496" t="s">
        <v>5785</v>
      </c>
      <c r="B105" s="496"/>
      <c r="C105" s="493" t="s">
        <v>4855</v>
      </c>
      <c r="D105" s="493"/>
      <c r="E105" s="493"/>
      <c r="F105" s="493"/>
      <c r="G105" s="493"/>
      <c r="H105" s="493"/>
      <c r="I105" s="493"/>
      <c r="J105" s="493"/>
      <c r="K105" s="493"/>
      <c r="L105" s="493"/>
      <c r="M105" s="493"/>
    </row>
    <row r="106" spans="1:13" s="88" customFormat="1" ht="16.5" customHeight="1">
      <c r="A106" s="89" t="s">
        <v>1223</v>
      </c>
      <c r="B106" s="92" t="s">
        <v>4842</v>
      </c>
      <c r="C106" s="493" t="s">
        <v>4843</v>
      </c>
      <c r="D106" s="493"/>
      <c r="E106" s="493"/>
      <c r="F106" s="493"/>
      <c r="G106" s="493"/>
      <c r="H106" s="493"/>
      <c r="I106" s="493"/>
      <c r="J106" s="493"/>
      <c r="K106" s="493"/>
      <c r="L106" s="493"/>
      <c r="M106" s="493"/>
    </row>
    <row r="107" spans="1:13" s="88" customFormat="1" ht="16.5" customHeight="1">
      <c r="A107" s="89"/>
      <c r="B107" s="92" t="s">
        <v>4844</v>
      </c>
      <c r="C107" s="493" t="s">
        <v>4845</v>
      </c>
      <c r="D107" s="493"/>
      <c r="E107" s="493"/>
      <c r="F107" s="493"/>
      <c r="G107" s="493"/>
      <c r="H107" s="493"/>
      <c r="I107" s="493"/>
      <c r="J107" s="493"/>
      <c r="K107" s="493"/>
      <c r="L107" s="493"/>
      <c r="M107" s="493"/>
    </row>
    <row r="108" spans="1:13" s="88" customFormat="1" ht="16.5" customHeight="1">
      <c r="A108" s="89"/>
      <c r="B108" s="90" t="s">
        <v>4846</v>
      </c>
      <c r="C108" s="493" t="s">
        <v>4847</v>
      </c>
      <c r="D108" s="493"/>
      <c r="E108" s="493"/>
      <c r="F108" s="493"/>
      <c r="G108" s="493"/>
      <c r="H108" s="493"/>
      <c r="I108" s="493"/>
      <c r="J108" s="493"/>
      <c r="K108" s="493"/>
      <c r="L108" s="493"/>
      <c r="M108" s="493"/>
    </row>
    <row r="109" spans="1:13" s="88" customFormat="1" ht="16.5" customHeight="1">
      <c r="B109" s="88" t="s">
        <v>4856</v>
      </c>
      <c r="C109" s="613" t="s">
        <v>4864</v>
      </c>
      <c r="D109" s="613"/>
      <c r="E109" s="613"/>
      <c r="F109" s="613"/>
      <c r="G109" s="613"/>
      <c r="H109" s="613"/>
      <c r="I109" s="613"/>
      <c r="J109" s="613"/>
      <c r="K109" s="613"/>
      <c r="L109" s="613"/>
      <c r="M109" s="613"/>
    </row>
    <row r="110" spans="1:13" ht="16.5" customHeight="1">
      <c r="B110" s="4" t="s">
        <v>4857</v>
      </c>
      <c r="C110" s="613" t="s">
        <v>4858</v>
      </c>
      <c r="D110" s="613"/>
      <c r="E110" s="613"/>
      <c r="F110" s="613"/>
      <c r="G110" s="613"/>
      <c r="H110" s="613"/>
      <c r="I110" s="613"/>
      <c r="J110" s="613"/>
      <c r="K110" s="613"/>
      <c r="L110" s="613"/>
      <c r="M110" s="613"/>
    </row>
    <row r="111" spans="1:13" ht="16.5" customHeight="1">
      <c r="A111" s="89" t="s">
        <v>1228</v>
      </c>
      <c r="B111" s="493"/>
      <c r="C111" s="493"/>
      <c r="D111" s="493"/>
      <c r="E111" s="493"/>
      <c r="F111" s="493"/>
      <c r="G111" s="493"/>
      <c r="H111" s="493"/>
      <c r="I111" s="493"/>
      <c r="J111" s="493"/>
      <c r="K111" s="493"/>
      <c r="L111" s="493"/>
      <c r="M111" s="493"/>
    </row>
    <row r="112" spans="1:13" s="93" customFormat="1" ht="16.5" customHeight="1">
      <c r="A112" s="89" t="s">
        <v>1229</v>
      </c>
      <c r="B112" s="673"/>
      <c r="C112" s="673"/>
      <c r="D112" s="673"/>
      <c r="E112" s="673"/>
      <c r="F112" s="673"/>
      <c r="G112" s="673"/>
      <c r="H112" s="673"/>
      <c r="I112" s="673"/>
      <c r="J112" s="673"/>
      <c r="K112" s="673"/>
      <c r="L112" s="673"/>
      <c r="M112" s="673"/>
    </row>
    <row r="113" spans="1:13" ht="21" customHeight="1">
      <c r="B113" s="494" t="s">
        <v>2863</v>
      </c>
      <c r="C113" s="494"/>
      <c r="D113" s="494"/>
      <c r="E113" s="494"/>
      <c r="F113" s="494"/>
      <c r="G113" s="494"/>
      <c r="H113" s="494"/>
      <c r="I113" s="494"/>
      <c r="J113" s="494"/>
      <c r="K113" s="494"/>
      <c r="L113" s="495"/>
    </row>
    <row r="114" spans="1:13" ht="16.5" customHeight="1">
      <c r="A114" s="93"/>
      <c r="B114" s="93"/>
      <c r="C114" s="93"/>
      <c r="D114" s="93"/>
      <c r="E114" s="93"/>
      <c r="F114" s="93"/>
      <c r="G114" s="93"/>
      <c r="H114" s="93"/>
      <c r="I114" s="93"/>
      <c r="J114" s="93"/>
      <c r="K114" s="93"/>
      <c r="L114" s="93"/>
      <c r="M114" s="93"/>
    </row>
    <row r="115" spans="1:13" ht="16.5" customHeight="1">
      <c r="A115" s="94" t="s">
        <v>1232</v>
      </c>
      <c r="B115" s="93" t="s">
        <v>1773</v>
      </c>
      <c r="C115" s="93"/>
      <c r="D115" s="93"/>
      <c r="E115" s="93"/>
      <c r="F115" s="93"/>
      <c r="G115" s="93"/>
      <c r="H115" s="93"/>
      <c r="I115" s="93"/>
      <c r="J115" s="93"/>
      <c r="K115" s="93"/>
      <c r="L115" s="93"/>
      <c r="M115" s="93"/>
    </row>
    <row r="116" spans="1:13" ht="16.5" customHeight="1">
      <c r="B116" s="93"/>
      <c r="C116" s="93"/>
      <c r="D116" s="93"/>
      <c r="E116" s="93"/>
      <c r="F116" s="93"/>
      <c r="G116" s="93"/>
      <c r="H116" s="93"/>
    </row>
    <row r="117" spans="1:13" ht="16.5" customHeight="1">
      <c r="B117" s="93"/>
      <c r="C117" s="93"/>
      <c r="D117" s="93"/>
      <c r="E117" s="93"/>
      <c r="F117" s="93"/>
      <c r="G117" s="93"/>
      <c r="H117" s="93"/>
    </row>
    <row r="118" spans="1:13" ht="16.5" customHeight="1">
      <c r="B118" s="93" t="s">
        <v>612</v>
      </c>
      <c r="C118" s="93"/>
      <c r="D118" s="93"/>
      <c r="E118" s="93"/>
      <c r="F118" s="93"/>
      <c r="G118" s="93"/>
      <c r="H118" s="93"/>
    </row>
    <row r="119" spans="1:13" ht="16.5" customHeight="1">
      <c r="B119" s="116" t="s">
        <v>4848</v>
      </c>
      <c r="C119" s="94" t="s">
        <v>4849</v>
      </c>
      <c r="D119" s="94" t="s">
        <v>4850</v>
      </c>
      <c r="E119" s="157" t="s">
        <v>4859</v>
      </c>
      <c r="F119" s="94" t="s">
        <v>4519</v>
      </c>
      <c r="G119" s="518" t="s">
        <v>4851</v>
      </c>
      <c r="H119" s="518"/>
      <c r="I119" s="104" t="s">
        <v>1238</v>
      </c>
    </row>
    <row r="120" spans="1:13" ht="16.5" customHeight="1">
      <c r="B120" s="93">
        <v>300000</v>
      </c>
      <c r="C120" s="93">
        <v>30000</v>
      </c>
      <c r="D120" s="93">
        <v>4</v>
      </c>
      <c r="E120" s="93">
        <v>8</v>
      </c>
      <c r="F120" s="93">
        <v>1</v>
      </c>
      <c r="G120" s="676">
        <f>DB(B120,C120,D120,F120,E120)</f>
        <v>87600</v>
      </c>
      <c r="H120" s="676"/>
      <c r="I120" s="108" t="s">
        <v>4860</v>
      </c>
    </row>
    <row r="121" spans="1:13" ht="16.5" customHeight="1">
      <c r="B121" s="93"/>
      <c r="C121" s="93"/>
      <c r="D121" s="93"/>
      <c r="E121" s="93"/>
      <c r="F121" s="93"/>
      <c r="G121" s="93"/>
      <c r="H121" s="93"/>
    </row>
    <row r="122" spans="1:13" ht="16.5" customHeight="1">
      <c r="B122" s="93"/>
      <c r="C122" s="93"/>
      <c r="D122" s="93"/>
      <c r="E122" s="93"/>
      <c r="F122" s="93"/>
      <c r="G122" s="93"/>
      <c r="H122" s="93"/>
    </row>
    <row r="123" spans="1:13" ht="16.5" customHeight="1">
      <c r="B123" s="93"/>
      <c r="C123" s="93"/>
      <c r="D123" s="93"/>
      <c r="E123" s="93"/>
      <c r="F123" s="93"/>
      <c r="G123" s="93"/>
      <c r="H123" s="93"/>
    </row>
    <row r="124" spans="1:13" ht="16.5" customHeight="1">
      <c r="B124" s="93"/>
      <c r="C124" s="93"/>
      <c r="D124" s="93"/>
      <c r="E124" s="93"/>
      <c r="F124" s="93"/>
      <c r="G124" s="93"/>
      <c r="H124" s="93"/>
    </row>
    <row r="125" spans="1:13" ht="16.5" customHeight="1">
      <c r="B125" s="93"/>
      <c r="C125" s="93"/>
      <c r="D125" s="93"/>
      <c r="E125" s="93"/>
      <c r="F125" s="93"/>
      <c r="G125" s="93"/>
      <c r="H125" s="93"/>
    </row>
    <row r="126" spans="1:13" ht="16.5" customHeight="1">
      <c r="E126" s="93"/>
    </row>
    <row r="127" spans="1:13">
      <c r="E127" s="93"/>
    </row>
    <row r="128" spans="1:13">
      <c r="E128" s="93"/>
    </row>
    <row r="129" spans="5:5">
      <c r="E129" s="93"/>
    </row>
    <row r="130" spans="5:5">
      <c r="E130" s="93"/>
    </row>
    <row r="131" spans="5:5">
      <c r="E131" s="93"/>
    </row>
    <row r="200" spans="1:13" s="88" customFormat="1" ht="26.25" customHeight="1">
      <c r="A200" s="498" t="s">
        <v>825</v>
      </c>
      <c r="B200" s="498"/>
      <c r="C200" s="499"/>
      <c r="D200" s="87"/>
      <c r="E200" s="500" t="str">
        <f>HYPERLINK("#目录!A409","跳转回到目录页")</f>
        <v>跳转回到目录页</v>
      </c>
      <c r="F200" s="501"/>
    </row>
    <row r="201" spans="1:13" s="88" customFormat="1" ht="26.25" customHeight="1">
      <c r="A201" s="502" t="s">
        <v>1216</v>
      </c>
      <c r="B201" s="502"/>
      <c r="C201" s="503" t="s">
        <v>613</v>
      </c>
      <c r="D201" s="503"/>
      <c r="E201" s="503"/>
      <c r="F201" s="503"/>
      <c r="G201" s="503"/>
      <c r="H201" s="503"/>
      <c r="I201" s="503"/>
      <c r="J201" s="503"/>
      <c r="K201" s="503"/>
      <c r="L201" s="503"/>
      <c r="M201" s="503"/>
    </row>
    <row r="202" spans="1:13" s="88" customFormat="1" ht="16.5" customHeight="1">
      <c r="A202" s="496" t="s">
        <v>1217</v>
      </c>
      <c r="B202" s="496"/>
      <c r="C202" s="493" t="s">
        <v>4861</v>
      </c>
      <c r="D202" s="493"/>
      <c r="E202" s="493"/>
      <c r="F202" s="493"/>
      <c r="G202" s="493"/>
      <c r="H202" s="493"/>
      <c r="I202" s="493"/>
      <c r="J202" s="493"/>
      <c r="K202" s="493"/>
      <c r="L202" s="493"/>
      <c r="M202" s="493"/>
    </row>
    <row r="203" spans="1:13" s="88" customFormat="1" ht="16.5" customHeight="1">
      <c r="A203" s="496" t="s">
        <v>5786</v>
      </c>
      <c r="B203" s="496"/>
      <c r="C203" s="497" t="s">
        <v>613</v>
      </c>
      <c r="D203" s="497"/>
      <c r="E203" s="497"/>
      <c r="F203" s="497"/>
      <c r="G203" s="497"/>
      <c r="H203" s="497"/>
      <c r="I203" s="497"/>
      <c r="J203" s="497"/>
      <c r="K203" s="497"/>
      <c r="L203" s="497"/>
      <c r="M203" s="497"/>
    </row>
    <row r="204" spans="1:13" s="88" customFormat="1" ht="16.5" customHeight="1">
      <c r="A204" s="496" t="s">
        <v>1220</v>
      </c>
      <c r="B204" s="496"/>
      <c r="C204" s="493" t="s">
        <v>4862</v>
      </c>
      <c r="D204" s="493"/>
      <c r="E204" s="493"/>
      <c r="F204" s="493"/>
      <c r="G204" s="493"/>
      <c r="H204" s="493"/>
      <c r="I204" s="493"/>
      <c r="J204" s="493"/>
      <c r="K204" s="493"/>
      <c r="L204" s="493"/>
      <c r="M204" s="493"/>
    </row>
    <row r="205" spans="1:13" s="88" customFormat="1" ht="16.5" customHeight="1">
      <c r="A205" s="496" t="s">
        <v>5785</v>
      </c>
      <c r="B205" s="496"/>
      <c r="C205" s="493" t="s">
        <v>4863</v>
      </c>
      <c r="D205" s="493"/>
      <c r="E205" s="493"/>
      <c r="F205" s="493"/>
      <c r="G205" s="493"/>
      <c r="H205" s="493"/>
      <c r="I205" s="493"/>
      <c r="J205" s="493"/>
      <c r="K205" s="493"/>
      <c r="L205" s="493"/>
      <c r="M205" s="493"/>
    </row>
    <row r="206" spans="1:13" s="88" customFormat="1" ht="16.5" customHeight="1">
      <c r="A206" s="89" t="s">
        <v>1223</v>
      </c>
      <c r="B206" s="92" t="s">
        <v>4842</v>
      </c>
      <c r="C206" s="493" t="s">
        <v>4843</v>
      </c>
      <c r="D206" s="493"/>
      <c r="E206" s="493"/>
      <c r="F206" s="493"/>
      <c r="G206" s="493"/>
      <c r="H206" s="493"/>
      <c r="I206" s="493"/>
      <c r="J206" s="493"/>
      <c r="K206" s="493"/>
      <c r="L206" s="493"/>
      <c r="M206" s="493"/>
    </row>
    <row r="207" spans="1:13" ht="16.5" customHeight="1">
      <c r="B207" s="93" t="s">
        <v>4844</v>
      </c>
      <c r="C207" s="549" t="s">
        <v>4845</v>
      </c>
      <c r="D207" s="549"/>
      <c r="E207" s="549"/>
      <c r="F207" s="549"/>
      <c r="G207" s="549"/>
      <c r="H207" s="549"/>
      <c r="I207" s="549"/>
      <c r="J207" s="549"/>
      <c r="K207" s="549"/>
      <c r="L207" s="549"/>
      <c r="M207" s="549"/>
    </row>
    <row r="208" spans="1:13" ht="16.5" customHeight="1">
      <c r="B208" s="93" t="s">
        <v>4846</v>
      </c>
      <c r="C208" s="549" t="s">
        <v>4847</v>
      </c>
      <c r="D208" s="549"/>
      <c r="E208" s="549"/>
      <c r="F208" s="549"/>
      <c r="G208" s="549"/>
      <c r="H208" s="549"/>
      <c r="I208" s="549"/>
      <c r="J208" s="549"/>
      <c r="K208" s="549"/>
      <c r="L208" s="549"/>
      <c r="M208" s="549"/>
    </row>
    <row r="209" spans="1:13" s="88" customFormat="1" ht="16.5" customHeight="1">
      <c r="A209" s="89"/>
      <c r="B209" s="92" t="s">
        <v>4856</v>
      </c>
      <c r="C209" s="493" t="s">
        <v>4864</v>
      </c>
      <c r="D209" s="493"/>
      <c r="E209" s="493"/>
      <c r="F209" s="493"/>
      <c r="G209" s="493"/>
      <c r="H209" s="493"/>
      <c r="I209" s="493"/>
      <c r="J209" s="493"/>
      <c r="K209" s="493"/>
      <c r="L209" s="493"/>
      <c r="M209" s="493"/>
    </row>
    <row r="210" spans="1:13" s="88" customFormat="1" ht="16.5" customHeight="1">
      <c r="A210" s="89"/>
      <c r="B210" s="90" t="s">
        <v>4865</v>
      </c>
      <c r="C210" s="493" t="s">
        <v>4866</v>
      </c>
      <c r="D210" s="493"/>
      <c r="E210" s="493"/>
      <c r="F210" s="493"/>
      <c r="G210" s="493"/>
      <c r="H210" s="493"/>
      <c r="I210" s="493"/>
      <c r="J210" s="493"/>
      <c r="K210" s="493"/>
      <c r="L210" s="493"/>
      <c r="M210" s="493"/>
    </row>
    <row r="211" spans="1:13" s="88" customFormat="1" ht="16.5" customHeight="1">
      <c r="A211" s="89" t="s">
        <v>1228</v>
      </c>
      <c r="B211" s="509" t="s">
        <v>5806</v>
      </c>
      <c r="C211" s="509"/>
      <c r="D211" s="509"/>
      <c r="E211" s="509"/>
      <c r="F211" s="509"/>
      <c r="G211" s="509"/>
      <c r="H211" s="509"/>
      <c r="I211" s="509"/>
      <c r="J211" s="509"/>
      <c r="K211" s="509"/>
      <c r="L211" s="509"/>
      <c r="M211" s="509"/>
    </row>
    <row r="212" spans="1:13" ht="48.75" customHeight="1">
      <c r="A212" s="89" t="s">
        <v>1229</v>
      </c>
      <c r="B212" s="509" t="s">
        <v>4867</v>
      </c>
      <c r="C212" s="509"/>
      <c r="D212" s="509"/>
      <c r="E212" s="509"/>
      <c r="F212" s="509"/>
      <c r="G212" s="509"/>
      <c r="H212" s="509"/>
      <c r="I212" s="509"/>
      <c r="J212" s="509"/>
      <c r="K212" s="509"/>
      <c r="L212" s="509"/>
      <c r="M212" s="509"/>
    </row>
    <row r="213" spans="1:13" ht="21" customHeight="1">
      <c r="B213" s="494" t="s">
        <v>2863</v>
      </c>
      <c r="C213" s="494"/>
      <c r="D213" s="494"/>
      <c r="E213" s="494"/>
      <c r="F213" s="494"/>
      <c r="G213" s="494"/>
      <c r="H213" s="494"/>
      <c r="I213" s="494"/>
      <c r="J213" s="494"/>
      <c r="K213" s="494"/>
      <c r="L213" s="495"/>
    </row>
    <row r="214" spans="1:13" s="93" customFormat="1" ht="16.5" customHeight="1"/>
    <row r="215" spans="1:13" s="93" customFormat="1" ht="16.5" customHeight="1">
      <c r="A215" s="94" t="s">
        <v>1232</v>
      </c>
      <c r="B215" s="93" t="s">
        <v>1773</v>
      </c>
    </row>
    <row r="216" spans="1:13" ht="16.5" customHeight="1">
      <c r="E216" s="93"/>
    </row>
    <row r="217" spans="1:13" ht="16.5" customHeight="1">
      <c r="B217" s="93"/>
      <c r="C217" s="93"/>
      <c r="D217" s="93"/>
      <c r="E217" s="93"/>
      <c r="F217" s="93"/>
      <c r="G217" s="93"/>
      <c r="H217" s="93"/>
      <c r="I217" s="93"/>
      <c r="J217" s="93"/>
    </row>
    <row r="218" spans="1:13" ht="16.5" customHeight="1">
      <c r="B218" s="93" t="s">
        <v>613</v>
      </c>
      <c r="C218" s="93"/>
      <c r="D218" s="93"/>
      <c r="E218" s="93"/>
      <c r="F218" s="93"/>
      <c r="G218" s="93"/>
      <c r="H218" s="93"/>
      <c r="I218" s="93"/>
      <c r="J218" s="93"/>
    </row>
    <row r="219" spans="1:13" ht="16.5" customHeight="1">
      <c r="B219" s="94" t="s">
        <v>2288</v>
      </c>
      <c r="C219" s="94" t="s">
        <v>27</v>
      </c>
      <c r="D219" s="93"/>
      <c r="E219" s="93"/>
      <c r="F219" s="94"/>
      <c r="G219" s="94"/>
      <c r="H219" s="94"/>
      <c r="I219" s="94"/>
      <c r="J219" s="104"/>
    </row>
    <row r="220" spans="1:13" ht="16.5" customHeight="1">
      <c r="B220" s="93">
        <v>2400</v>
      </c>
      <c r="C220" s="93" t="s">
        <v>4868</v>
      </c>
      <c r="D220" s="93"/>
      <c r="E220" s="93" t="s">
        <v>3592</v>
      </c>
      <c r="F220" s="93"/>
      <c r="G220" s="93"/>
      <c r="J220" s="158"/>
    </row>
    <row r="221" spans="1:13" ht="16.5" customHeight="1">
      <c r="B221" s="93">
        <v>300</v>
      </c>
      <c r="C221" s="93" t="s">
        <v>4869</v>
      </c>
      <c r="D221" s="93"/>
      <c r="E221" s="93"/>
    </row>
    <row r="222" spans="1:13" ht="16.5" customHeight="1">
      <c r="B222" s="93">
        <v>10</v>
      </c>
      <c r="C222" s="93" t="s">
        <v>4870</v>
      </c>
      <c r="D222" s="93"/>
      <c r="E222" s="93" t="s">
        <v>3592</v>
      </c>
      <c r="F222" s="93"/>
      <c r="G222" s="93"/>
      <c r="J222" s="93"/>
    </row>
    <row r="223" spans="1:13" ht="16.5" customHeight="1">
      <c r="B223" s="93"/>
      <c r="C223" s="93"/>
      <c r="D223" s="93"/>
      <c r="E223" s="93"/>
      <c r="F223" s="93"/>
      <c r="G223" s="93"/>
      <c r="H223" s="93"/>
      <c r="I223" s="93"/>
      <c r="J223" s="93"/>
    </row>
    <row r="224" spans="1:13" ht="16.5" customHeight="1">
      <c r="B224" s="156">
        <f>DDB(B220,B221,B222*365,1)</f>
        <v>1.3150684931506849</v>
      </c>
      <c r="C224" s="93" t="s">
        <v>4871</v>
      </c>
      <c r="D224" s="93"/>
      <c r="E224" s="93"/>
      <c r="F224" s="93"/>
      <c r="G224" s="93"/>
      <c r="H224" s="93"/>
      <c r="I224" s="93"/>
      <c r="J224" s="93"/>
      <c r="K224" s="93"/>
    </row>
    <row r="225" spans="2:11" ht="16.5" customHeight="1">
      <c r="B225" s="156">
        <f>DDB(B220,B221,B222*12,1,2)</f>
        <v>40</v>
      </c>
      <c r="C225" s="93" t="s">
        <v>4872</v>
      </c>
      <c r="D225" s="93"/>
      <c r="E225" s="93"/>
      <c r="F225" s="93"/>
      <c r="G225" s="93"/>
      <c r="H225" s="93"/>
      <c r="I225" s="93"/>
      <c r="J225" s="93"/>
      <c r="K225" s="93"/>
    </row>
    <row r="226" spans="2:11" ht="16.5" customHeight="1">
      <c r="B226" s="156">
        <f>DDB(B220,B221,B222,1,2)</f>
        <v>480</v>
      </c>
      <c r="C226" s="93" t="s">
        <v>4873</v>
      </c>
      <c r="D226" s="93"/>
      <c r="E226" s="93"/>
      <c r="F226" s="93"/>
      <c r="G226" s="93"/>
      <c r="H226" s="93"/>
      <c r="I226" s="93"/>
      <c r="J226" s="93"/>
      <c r="K226" s="93"/>
    </row>
    <row r="227" spans="2:11" ht="16.5" customHeight="1">
      <c r="B227" s="156">
        <f>DDB(B220,B221,B222,2,1.5)</f>
        <v>306</v>
      </c>
      <c r="C227" s="93" t="s">
        <v>4874</v>
      </c>
      <c r="D227" s="93"/>
      <c r="E227" s="93"/>
      <c r="F227" s="93"/>
      <c r="G227" s="93"/>
      <c r="H227" s="93"/>
      <c r="I227" s="93"/>
      <c r="J227" s="93"/>
      <c r="K227" s="93"/>
    </row>
    <row r="228" spans="2:11">
      <c r="B228" s="156">
        <f>DDB(B220,B221,B222,10)</f>
        <v>22.12254720000027</v>
      </c>
      <c r="C228" s="93" t="s">
        <v>4875</v>
      </c>
      <c r="D228" s="93"/>
      <c r="E228" s="93"/>
      <c r="F228" s="93"/>
      <c r="G228" s="93"/>
      <c r="H228" s="93"/>
      <c r="I228" s="93"/>
      <c r="J228" s="93"/>
      <c r="K228" s="93"/>
    </row>
    <row r="229" spans="2:11">
      <c r="B229" s="93"/>
      <c r="C229" s="93"/>
      <c r="D229" s="93"/>
      <c r="E229" s="93"/>
      <c r="F229" s="93"/>
      <c r="G229" s="93"/>
      <c r="H229" s="93"/>
      <c r="I229" s="93"/>
      <c r="J229" s="93"/>
      <c r="K229" s="93"/>
    </row>
    <row r="300" spans="1:13" s="88" customFormat="1" ht="26.25" customHeight="1">
      <c r="A300" s="498" t="s">
        <v>1186</v>
      </c>
      <c r="B300" s="498"/>
      <c r="C300" s="499"/>
      <c r="D300" s="87"/>
      <c r="E300" s="500" t="str">
        <f>HYPERLINK("#目录!A410","跳转回到目录页")</f>
        <v>跳转回到目录页</v>
      </c>
      <c r="F300" s="501"/>
    </row>
    <row r="301" spans="1:13" s="88" customFormat="1" ht="26.25" customHeight="1">
      <c r="A301" s="502" t="s">
        <v>1216</v>
      </c>
      <c r="B301" s="502"/>
      <c r="C301" s="503" t="s">
        <v>614</v>
      </c>
      <c r="D301" s="503"/>
      <c r="E301" s="503"/>
      <c r="F301" s="503"/>
      <c r="G301" s="503"/>
      <c r="H301" s="503"/>
      <c r="I301" s="503"/>
      <c r="J301" s="503"/>
      <c r="K301" s="503"/>
      <c r="L301" s="503"/>
      <c r="M301" s="503"/>
    </row>
    <row r="302" spans="1:13" s="88" customFormat="1" ht="16.5" customHeight="1">
      <c r="A302" s="496" t="s">
        <v>1217</v>
      </c>
      <c r="B302" s="496"/>
      <c r="C302" s="493" t="s">
        <v>4876</v>
      </c>
      <c r="D302" s="493"/>
      <c r="E302" s="493"/>
      <c r="F302" s="493"/>
      <c r="G302" s="493"/>
      <c r="H302" s="493"/>
      <c r="I302" s="493"/>
      <c r="J302" s="493"/>
      <c r="K302" s="493"/>
      <c r="L302" s="493"/>
      <c r="M302" s="493"/>
    </row>
    <row r="303" spans="1:13" s="88" customFormat="1" ht="16.5" customHeight="1">
      <c r="A303" s="496" t="s">
        <v>5786</v>
      </c>
      <c r="B303" s="496"/>
      <c r="C303" s="497" t="s">
        <v>614</v>
      </c>
      <c r="D303" s="497"/>
      <c r="E303" s="497"/>
      <c r="F303" s="497"/>
      <c r="G303" s="497"/>
      <c r="H303" s="497"/>
      <c r="I303" s="497"/>
      <c r="J303" s="497"/>
      <c r="K303" s="497"/>
      <c r="L303" s="497"/>
      <c r="M303" s="497"/>
    </row>
    <row r="304" spans="1:13" s="88" customFormat="1" ht="16.5" customHeight="1">
      <c r="A304" s="496" t="s">
        <v>1220</v>
      </c>
      <c r="B304" s="496"/>
      <c r="C304" s="493" t="s">
        <v>4877</v>
      </c>
      <c r="D304" s="493"/>
      <c r="E304" s="493"/>
      <c r="F304" s="493"/>
      <c r="G304" s="493"/>
      <c r="H304" s="493"/>
      <c r="I304" s="493"/>
      <c r="J304" s="493"/>
      <c r="K304" s="493"/>
      <c r="L304" s="493"/>
      <c r="M304" s="493"/>
    </row>
    <row r="305" spans="1:13" s="88" customFormat="1" ht="16.5" customHeight="1">
      <c r="A305" s="496" t="s">
        <v>5785</v>
      </c>
      <c r="B305" s="496"/>
      <c r="C305" s="493" t="s">
        <v>4878</v>
      </c>
      <c r="D305" s="493"/>
      <c r="E305" s="493"/>
      <c r="F305" s="493"/>
      <c r="G305" s="493"/>
      <c r="H305" s="493"/>
      <c r="I305" s="493"/>
      <c r="J305" s="493"/>
      <c r="K305" s="493"/>
      <c r="L305" s="493"/>
      <c r="M305" s="493"/>
    </row>
    <row r="306" spans="1:13" s="88" customFormat="1" ht="16.5" customHeight="1">
      <c r="A306" s="89" t="s">
        <v>1223</v>
      </c>
      <c r="B306" s="92" t="s">
        <v>4842</v>
      </c>
      <c r="C306" s="493" t="s">
        <v>4843</v>
      </c>
      <c r="D306" s="493"/>
      <c r="E306" s="493"/>
      <c r="F306" s="493"/>
      <c r="G306" s="493"/>
      <c r="H306" s="493"/>
      <c r="I306" s="493"/>
      <c r="J306" s="493"/>
      <c r="K306" s="493"/>
      <c r="L306" s="493"/>
      <c r="M306" s="493"/>
    </row>
    <row r="307" spans="1:13" s="88" customFormat="1" ht="16.5" customHeight="1">
      <c r="A307" s="89"/>
      <c r="B307" s="92" t="s">
        <v>4844</v>
      </c>
      <c r="C307" s="493" t="s">
        <v>4845</v>
      </c>
      <c r="D307" s="493"/>
      <c r="E307" s="493"/>
      <c r="F307" s="493"/>
      <c r="G307" s="493"/>
      <c r="H307" s="493"/>
      <c r="I307" s="493"/>
      <c r="J307" s="493"/>
      <c r="K307" s="493"/>
      <c r="L307" s="493"/>
      <c r="M307" s="493"/>
    </row>
    <row r="308" spans="1:13" s="88" customFormat="1" ht="16.5" customHeight="1">
      <c r="A308" s="89"/>
      <c r="B308" s="90" t="s">
        <v>4846</v>
      </c>
      <c r="C308" s="493" t="s">
        <v>4847</v>
      </c>
      <c r="D308" s="493"/>
      <c r="E308" s="493"/>
      <c r="F308" s="493"/>
      <c r="G308" s="493"/>
      <c r="H308" s="493"/>
      <c r="I308" s="493"/>
      <c r="J308" s="493"/>
      <c r="K308" s="493"/>
      <c r="L308" s="493"/>
      <c r="M308" s="493"/>
    </row>
    <row r="309" spans="1:13" ht="16.5" customHeight="1">
      <c r="B309" s="93" t="s">
        <v>4440</v>
      </c>
      <c r="C309" s="549" t="s">
        <v>4879</v>
      </c>
      <c r="D309" s="549"/>
      <c r="E309" s="549"/>
      <c r="F309" s="549"/>
      <c r="G309" s="549"/>
      <c r="H309" s="549"/>
      <c r="I309" s="549"/>
      <c r="J309" s="549"/>
      <c r="K309" s="549"/>
      <c r="L309" s="549"/>
      <c r="M309" s="549"/>
    </row>
    <row r="310" spans="1:13" ht="16.5" customHeight="1">
      <c r="B310" s="93" t="s">
        <v>4442</v>
      </c>
      <c r="C310" s="549" t="s">
        <v>4880</v>
      </c>
      <c r="D310" s="549"/>
      <c r="E310" s="549"/>
      <c r="F310" s="549"/>
      <c r="G310" s="549"/>
      <c r="H310" s="549"/>
      <c r="I310" s="549"/>
      <c r="J310" s="549"/>
      <c r="K310" s="549"/>
      <c r="L310" s="549"/>
      <c r="M310" s="549"/>
    </row>
    <row r="311" spans="1:13" ht="24.75" customHeight="1">
      <c r="B311" s="93" t="s">
        <v>4865</v>
      </c>
      <c r="C311" s="509" t="s">
        <v>4881</v>
      </c>
      <c r="D311" s="509"/>
      <c r="E311" s="509"/>
      <c r="F311" s="509"/>
      <c r="G311" s="509"/>
      <c r="H311" s="509"/>
      <c r="I311" s="509"/>
      <c r="J311" s="509"/>
      <c r="K311" s="509"/>
      <c r="L311" s="509"/>
      <c r="M311" s="509"/>
    </row>
    <row r="312" spans="1:13">
      <c r="B312" s="93" t="s">
        <v>4882</v>
      </c>
      <c r="C312" s="549" t="s">
        <v>4883</v>
      </c>
      <c r="D312" s="549"/>
      <c r="E312" s="549"/>
      <c r="F312" s="549"/>
      <c r="G312" s="549"/>
      <c r="H312" s="549"/>
      <c r="I312" s="549"/>
      <c r="J312" s="549"/>
      <c r="K312" s="549"/>
      <c r="L312" s="549"/>
      <c r="M312" s="549"/>
    </row>
    <row r="313" spans="1:13" s="88" customFormat="1" ht="16.5" customHeight="1">
      <c r="A313" s="89" t="s">
        <v>1228</v>
      </c>
      <c r="B313" s="493"/>
      <c r="C313" s="493"/>
      <c r="D313" s="493"/>
      <c r="E313" s="493"/>
      <c r="F313" s="493"/>
      <c r="G313" s="493"/>
      <c r="H313" s="493"/>
      <c r="I313" s="493"/>
      <c r="J313" s="493"/>
      <c r="K313" s="493"/>
      <c r="L313" s="493"/>
      <c r="M313" s="493"/>
    </row>
    <row r="314" spans="1:13" ht="38.25" customHeight="1">
      <c r="A314" s="89" t="s">
        <v>1229</v>
      </c>
      <c r="B314" s="673" t="s">
        <v>4884</v>
      </c>
      <c r="C314" s="673"/>
      <c r="D314" s="673"/>
      <c r="E314" s="673"/>
      <c r="F314" s="673"/>
      <c r="G314" s="673"/>
      <c r="H314" s="673"/>
      <c r="I314" s="673"/>
      <c r="J314" s="673"/>
      <c r="K314" s="673"/>
      <c r="L314" s="673"/>
      <c r="M314" s="673"/>
    </row>
    <row r="315" spans="1:13" ht="21" customHeight="1">
      <c r="B315" s="494" t="s">
        <v>2863</v>
      </c>
      <c r="C315" s="494"/>
      <c r="D315" s="494"/>
      <c r="E315" s="494"/>
      <c r="F315" s="494"/>
      <c r="G315" s="494"/>
      <c r="H315" s="494"/>
      <c r="I315" s="494"/>
      <c r="J315" s="494"/>
      <c r="K315" s="494"/>
      <c r="L315" s="495"/>
    </row>
    <row r="316" spans="1:13" s="93" customFormat="1" ht="16.5" customHeight="1"/>
    <row r="317" spans="1:13" s="93" customFormat="1" ht="16.5" customHeight="1">
      <c r="A317" s="94" t="s">
        <v>1232</v>
      </c>
      <c r="B317" s="93" t="s">
        <v>1773</v>
      </c>
      <c r="E317" s="93" t="s">
        <v>3592</v>
      </c>
    </row>
    <row r="318" spans="1:13" ht="16.5" customHeight="1">
      <c r="E318" s="93"/>
    </row>
    <row r="319" spans="1:13" ht="16.5" customHeight="1">
      <c r="E319" s="93"/>
    </row>
    <row r="320" spans="1:13" ht="16.5" customHeight="1">
      <c r="B320" s="94" t="s">
        <v>2288</v>
      </c>
      <c r="C320" s="94" t="s">
        <v>27</v>
      </c>
      <c r="D320" s="93"/>
      <c r="E320" s="93"/>
      <c r="F320" s="93"/>
      <c r="G320" s="93"/>
      <c r="H320" s="93"/>
      <c r="I320" s="93"/>
      <c r="J320" s="93"/>
      <c r="K320" s="93"/>
      <c r="L320" s="93"/>
    </row>
    <row r="321" spans="2:12" ht="16.5" customHeight="1">
      <c r="B321" s="93">
        <v>2400</v>
      </c>
      <c r="C321" s="93" t="s">
        <v>4868</v>
      </c>
      <c r="D321" s="93"/>
      <c r="E321" s="93"/>
      <c r="F321" s="93"/>
      <c r="G321" s="93"/>
      <c r="H321" s="93"/>
      <c r="I321" s="93"/>
      <c r="J321" s="93"/>
      <c r="K321" s="93"/>
      <c r="L321" s="93"/>
    </row>
    <row r="322" spans="2:12" ht="16.5" customHeight="1">
      <c r="B322" s="93">
        <v>300</v>
      </c>
      <c r="C322" s="93" t="s">
        <v>4869</v>
      </c>
      <c r="D322" s="93"/>
      <c r="E322" s="93"/>
      <c r="F322" s="93"/>
      <c r="G322" s="93"/>
      <c r="H322" s="93"/>
      <c r="I322" s="93"/>
      <c r="J322" s="93"/>
      <c r="K322" s="93"/>
      <c r="L322" s="93"/>
    </row>
    <row r="323" spans="2:12" ht="16.5" customHeight="1">
      <c r="B323" s="93">
        <v>10</v>
      </c>
      <c r="C323" s="93" t="s">
        <v>4870</v>
      </c>
      <c r="D323" s="93"/>
      <c r="E323" s="93"/>
      <c r="F323" s="93"/>
      <c r="G323" s="93"/>
      <c r="H323" s="93"/>
      <c r="I323" s="93"/>
      <c r="J323" s="93"/>
      <c r="K323" s="93"/>
      <c r="L323" s="93"/>
    </row>
    <row r="324" spans="2:12" ht="16.5" customHeight="1">
      <c r="B324" s="94" t="s">
        <v>1431</v>
      </c>
      <c r="C324" s="94" t="s">
        <v>4885</v>
      </c>
      <c r="D324" s="93"/>
      <c r="E324" s="93" t="s">
        <v>3592</v>
      </c>
      <c r="F324" s="93"/>
      <c r="G324" s="93"/>
      <c r="H324" s="93"/>
      <c r="I324" s="93"/>
      <c r="J324" s="93"/>
      <c r="K324" s="93"/>
      <c r="L324" s="93"/>
    </row>
    <row r="325" spans="2:12" ht="16.5" customHeight="1">
      <c r="B325" s="156">
        <f>VDB(B321,B322,B323*365,0,1)</f>
        <v>1.3150684931506849</v>
      </c>
      <c r="C325" s="93" t="s">
        <v>4886</v>
      </c>
      <c r="D325" s="93"/>
      <c r="E325" s="93"/>
      <c r="F325" s="93"/>
      <c r="G325" s="93"/>
      <c r="H325" s="93"/>
      <c r="I325" s="93"/>
      <c r="J325" s="93"/>
      <c r="K325" s="93"/>
      <c r="L325" s="93"/>
    </row>
    <row r="326" spans="2:12" ht="16.5" customHeight="1">
      <c r="B326" s="156">
        <f>VDB(B321,B322,B323*12,0,1)</f>
        <v>40</v>
      </c>
      <c r="C326" s="93" t="s">
        <v>4887</v>
      </c>
      <c r="D326" s="93"/>
      <c r="E326" s="93" t="s">
        <v>3592</v>
      </c>
      <c r="F326" s="93"/>
      <c r="G326" s="93"/>
      <c r="H326" s="93"/>
      <c r="I326" s="93"/>
      <c r="J326" s="93"/>
      <c r="K326" s="93"/>
      <c r="L326" s="93"/>
    </row>
    <row r="327" spans="2:12" ht="16.5" customHeight="1">
      <c r="B327" s="156">
        <f>VDB(B321,B322,B323,0,1)</f>
        <v>480</v>
      </c>
      <c r="C327" s="93" t="s">
        <v>4888</v>
      </c>
      <c r="D327" s="93"/>
      <c r="E327" s="93"/>
      <c r="F327" s="93"/>
      <c r="G327" s="93"/>
      <c r="H327" s="93"/>
      <c r="I327" s="93"/>
      <c r="J327" s="93"/>
      <c r="K327" s="93"/>
      <c r="L327" s="93"/>
    </row>
    <row r="328" spans="2:12" ht="16.5" customHeight="1">
      <c r="B328" s="156">
        <f>VDB(B321,B322,B323*12,6,18)</f>
        <v>396.30605326475086</v>
      </c>
      <c r="C328" s="93" t="s">
        <v>4889</v>
      </c>
      <c r="D328" s="93"/>
      <c r="E328" s="93"/>
      <c r="F328" s="93"/>
      <c r="G328" s="93"/>
      <c r="H328" s="93"/>
      <c r="I328" s="93"/>
      <c r="J328" s="93"/>
      <c r="K328" s="93"/>
      <c r="L328" s="93"/>
    </row>
    <row r="329" spans="2:12" ht="16.5" customHeight="1">
      <c r="B329" s="156">
        <f>VDB(B321,B322,B323*12,6,18,1.5)</f>
        <v>311.80893665823413</v>
      </c>
      <c r="C329" s="93" t="s">
        <v>4890</v>
      </c>
      <c r="D329" s="93"/>
      <c r="E329" s="93"/>
      <c r="F329" s="93"/>
      <c r="G329" s="93"/>
      <c r="H329" s="93"/>
      <c r="I329" s="93"/>
      <c r="J329" s="93"/>
      <c r="K329" s="93"/>
      <c r="L329" s="93"/>
    </row>
    <row r="330" spans="2:12" ht="16.5" customHeight="1">
      <c r="B330" s="156">
        <f>VDB(B321,B322,B323,0,0.875,1.5)</f>
        <v>315</v>
      </c>
      <c r="C330" s="93" t="s">
        <v>4891</v>
      </c>
      <c r="D330" s="93"/>
      <c r="E330" s="93"/>
      <c r="F330" s="93"/>
      <c r="G330" s="93"/>
      <c r="H330" s="93"/>
      <c r="I330" s="93"/>
      <c r="J330" s="93"/>
      <c r="K330" s="93"/>
      <c r="L330" s="93"/>
    </row>
    <row r="331" spans="2:12">
      <c r="E331" s="93" t="s">
        <v>3592</v>
      </c>
    </row>
    <row r="332" spans="2:12">
      <c r="E332" s="93"/>
    </row>
    <row r="400" spans="1:6" s="88" customFormat="1" ht="26.25" customHeight="1">
      <c r="A400" s="498" t="s">
        <v>1149</v>
      </c>
      <c r="B400" s="498"/>
      <c r="C400" s="499"/>
      <c r="D400" s="87"/>
      <c r="E400" s="500" t="str">
        <f>HYPERLINK("#目录!A412","跳转回到目录页")</f>
        <v>跳转回到目录页</v>
      </c>
      <c r="F400" s="501"/>
    </row>
    <row r="401" spans="1:13" s="88" customFormat="1" ht="26.25" customHeight="1">
      <c r="A401" s="502" t="s">
        <v>1216</v>
      </c>
      <c r="B401" s="502"/>
      <c r="C401" s="503" t="s">
        <v>615</v>
      </c>
      <c r="D401" s="503"/>
      <c r="E401" s="503"/>
      <c r="F401" s="503"/>
      <c r="G401" s="503"/>
      <c r="H401" s="503"/>
      <c r="I401" s="503"/>
      <c r="J401" s="503"/>
      <c r="K401" s="503"/>
      <c r="L401" s="503"/>
      <c r="M401" s="503"/>
    </row>
    <row r="402" spans="1:13" s="88" customFormat="1" ht="16.5" customHeight="1">
      <c r="A402" s="496" t="s">
        <v>1217</v>
      </c>
      <c r="B402" s="496"/>
      <c r="C402" s="493" t="s">
        <v>4892</v>
      </c>
      <c r="D402" s="493"/>
      <c r="E402" s="493"/>
      <c r="F402" s="493"/>
      <c r="G402" s="493"/>
      <c r="H402" s="493"/>
      <c r="I402" s="493"/>
      <c r="J402" s="493"/>
      <c r="K402" s="493"/>
      <c r="L402" s="493"/>
      <c r="M402" s="493"/>
    </row>
    <row r="403" spans="1:13" s="88" customFormat="1" ht="16.5" customHeight="1">
      <c r="A403" s="496" t="s">
        <v>5786</v>
      </c>
      <c r="B403" s="496"/>
      <c r="C403" s="497" t="s">
        <v>615</v>
      </c>
      <c r="D403" s="497"/>
      <c r="E403" s="497"/>
      <c r="F403" s="497"/>
      <c r="G403" s="497"/>
      <c r="H403" s="497"/>
      <c r="I403" s="497"/>
      <c r="J403" s="497"/>
      <c r="K403" s="497"/>
      <c r="L403" s="497"/>
      <c r="M403" s="497"/>
    </row>
    <row r="404" spans="1:13" s="88" customFormat="1" ht="16.5" customHeight="1">
      <c r="A404" s="496" t="s">
        <v>1220</v>
      </c>
      <c r="B404" s="496"/>
      <c r="C404" s="493" t="s">
        <v>4893</v>
      </c>
      <c r="D404" s="493"/>
      <c r="E404" s="493"/>
      <c r="F404" s="493"/>
      <c r="G404" s="493"/>
      <c r="H404" s="493"/>
      <c r="I404" s="493"/>
      <c r="J404" s="493"/>
      <c r="K404" s="493"/>
      <c r="L404" s="493"/>
      <c r="M404" s="493"/>
    </row>
    <row r="405" spans="1:13" s="88" customFormat="1" ht="16.5" customHeight="1">
      <c r="A405" s="496" t="s">
        <v>5785</v>
      </c>
      <c r="B405" s="496"/>
      <c r="C405" s="493" t="s">
        <v>4894</v>
      </c>
      <c r="D405" s="493"/>
      <c r="E405" s="493"/>
      <c r="F405" s="493"/>
      <c r="G405" s="493"/>
      <c r="H405" s="493"/>
      <c r="I405" s="493"/>
      <c r="J405" s="493"/>
      <c r="K405" s="493"/>
      <c r="L405" s="493"/>
      <c r="M405" s="493"/>
    </row>
    <row r="406" spans="1:13" s="88" customFormat="1" ht="16.5" customHeight="1">
      <c r="A406" s="89" t="s">
        <v>1223</v>
      </c>
      <c r="B406" s="92" t="s">
        <v>4842</v>
      </c>
      <c r="C406" s="493" t="s">
        <v>4843</v>
      </c>
      <c r="D406" s="493"/>
      <c r="E406" s="493"/>
      <c r="F406" s="493"/>
      <c r="G406" s="493"/>
      <c r="H406" s="493"/>
      <c r="I406" s="493"/>
      <c r="J406" s="493"/>
      <c r="K406" s="493"/>
      <c r="L406" s="493"/>
      <c r="M406" s="493"/>
    </row>
    <row r="407" spans="1:13" s="88" customFormat="1" ht="16.5" customHeight="1">
      <c r="A407" s="89"/>
      <c r="B407" s="92" t="s">
        <v>4844</v>
      </c>
      <c r="C407" s="493" t="s">
        <v>4845</v>
      </c>
      <c r="D407" s="493"/>
      <c r="E407" s="493"/>
      <c r="F407" s="493"/>
      <c r="G407" s="493"/>
      <c r="H407" s="493"/>
      <c r="I407" s="493"/>
      <c r="J407" s="493"/>
      <c r="K407" s="493"/>
      <c r="L407" s="493"/>
      <c r="M407" s="493"/>
    </row>
    <row r="408" spans="1:13" s="88" customFormat="1" ht="16.5" customHeight="1">
      <c r="A408" s="89"/>
      <c r="B408" s="92" t="s">
        <v>4846</v>
      </c>
      <c r="C408" s="493" t="s">
        <v>4847</v>
      </c>
      <c r="D408" s="493"/>
      <c r="E408" s="493"/>
      <c r="F408" s="493"/>
      <c r="G408" s="493"/>
      <c r="H408" s="493"/>
      <c r="I408" s="493"/>
      <c r="J408" s="493"/>
      <c r="K408" s="493"/>
      <c r="L408" s="493"/>
      <c r="M408" s="493"/>
    </row>
    <row r="409" spans="1:13" s="88" customFormat="1" ht="16.5" customHeight="1">
      <c r="A409" s="89"/>
      <c r="B409" s="90" t="s">
        <v>4424</v>
      </c>
      <c r="C409" s="493" t="s">
        <v>4895</v>
      </c>
      <c r="D409" s="493"/>
      <c r="E409" s="493"/>
      <c r="F409" s="493"/>
      <c r="G409" s="493"/>
      <c r="H409" s="493"/>
      <c r="I409" s="493"/>
      <c r="J409" s="493"/>
      <c r="K409" s="493"/>
      <c r="L409" s="493"/>
      <c r="M409" s="493"/>
    </row>
    <row r="410" spans="1:13" s="88" customFormat="1" ht="16.5" customHeight="1">
      <c r="A410" s="89" t="s">
        <v>1228</v>
      </c>
      <c r="B410" s="493"/>
      <c r="C410" s="493"/>
      <c r="D410" s="493"/>
      <c r="E410" s="493"/>
      <c r="F410" s="493"/>
      <c r="G410" s="493"/>
      <c r="H410" s="493"/>
      <c r="I410" s="493"/>
      <c r="J410" s="493"/>
      <c r="K410" s="493"/>
      <c r="L410" s="493"/>
      <c r="M410" s="493"/>
    </row>
    <row r="411" spans="1:13" ht="16.5" customHeight="1">
      <c r="A411" s="89" t="s">
        <v>1229</v>
      </c>
      <c r="B411" s="673"/>
      <c r="C411" s="673"/>
      <c r="D411" s="673"/>
      <c r="E411" s="673"/>
      <c r="F411" s="673"/>
      <c r="G411" s="673"/>
      <c r="H411" s="673"/>
      <c r="I411" s="673"/>
      <c r="J411" s="673"/>
      <c r="K411" s="673"/>
      <c r="L411" s="673"/>
      <c r="M411" s="673"/>
    </row>
    <row r="412" spans="1:13" ht="21" customHeight="1">
      <c r="B412" s="494" t="s">
        <v>2863</v>
      </c>
      <c r="C412" s="494"/>
      <c r="D412" s="494"/>
      <c r="E412" s="494"/>
      <c r="F412" s="494"/>
      <c r="G412" s="494"/>
      <c r="H412" s="494"/>
      <c r="I412" s="494"/>
      <c r="J412" s="494"/>
      <c r="K412" s="494"/>
      <c r="L412" s="495"/>
    </row>
    <row r="413" spans="1:13" s="93" customFormat="1" ht="16.5" customHeight="1"/>
    <row r="414" spans="1:13" s="93" customFormat="1" ht="16.5" customHeight="1">
      <c r="A414" s="94" t="s">
        <v>1232</v>
      </c>
      <c r="B414" s="93" t="s">
        <v>1773</v>
      </c>
    </row>
    <row r="415" spans="1:13">
      <c r="B415" s="93"/>
      <c r="C415" s="93"/>
      <c r="D415" s="93"/>
      <c r="E415" s="93"/>
      <c r="F415" s="93"/>
      <c r="G415" s="93"/>
      <c r="H415" s="93"/>
      <c r="I415" s="93"/>
    </row>
    <row r="416" spans="1:13">
      <c r="B416" s="93"/>
      <c r="C416" s="93"/>
      <c r="D416" s="93"/>
      <c r="E416" s="93"/>
      <c r="F416" s="93"/>
      <c r="G416" s="93"/>
      <c r="H416" s="93"/>
      <c r="I416" s="93"/>
    </row>
    <row r="417" spans="2:9">
      <c r="B417" s="94" t="s">
        <v>2288</v>
      </c>
      <c r="C417" s="94" t="s">
        <v>27</v>
      </c>
      <c r="D417" s="93"/>
      <c r="E417" s="93"/>
      <c r="F417" s="93"/>
      <c r="G417" s="93"/>
      <c r="H417" s="93"/>
      <c r="I417" s="93"/>
    </row>
    <row r="418" spans="2:9">
      <c r="B418" s="159">
        <v>30000</v>
      </c>
      <c r="C418" s="93" t="s">
        <v>4868</v>
      </c>
      <c r="D418" s="93"/>
      <c r="E418" s="93"/>
      <c r="F418" s="93"/>
      <c r="G418" s="93"/>
      <c r="H418" s="93"/>
      <c r="I418" s="93"/>
    </row>
    <row r="419" spans="2:9">
      <c r="B419" s="159">
        <v>7500</v>
      </c>
      <c r="C419" s="93" t="s">
        <v>4869</v>
      </c>
      <c r="D419" s="93"/>
      <c r="E419" s="93"/>
      <c r="F419" s="93"/>
      <c r="G419" s="93"/>
      <c r="H419" s="93"/>
      <c r="I419" s="93"/>
    </row>
    <row r="420" spans="2:9">
      <c r="B420" s="93">
        <v>10</v>
      </c>
      <c r="C420" s="93" t="s">
        <v>4870</v>
      </c>
      <c r="D420" s="93"/>
      <c r="E420" s="93"/>
      <c r="F420" s="93"/>
      <c r="G420" s="93"/>
      <c r="H420" s="93"/>
      <c r="I420" s="93"/>
    </row>
    <row r="421" spans="2:9">
      <c r="B421" s="94" t="s">
        <v>1431</v>
      </c>
      <c r="C421" s="94" t="s">
        <v>4885</v>
      </c>
      <c r="D421" s="93"/>
      <c r="E421" s="93"/>
      <c r="F421" s="93"/>
      <c r="G421" s="93"/>
      <c r="H421" s="93"/>
      <c r="I421" s="93"/>
    </row>
    <row r="422" spans="2:9">
      <c r="B422" s="156">
        <f>SYD(B418,B419,B420,1)</f>
        <v>4090.909090909091</v>
      </c>
      <c r="C422" s="93" t="s">
        <v>4896</v>
      </c>
      <c r="D422" s="93"/>
      <c r="E422" s="93"/>
      <c r="F422" s="93"/>
      <c r="G422" s="93"/>
      <c r="H422" s="93"/>
      <c r="I422" s="93"/>
    </row>
    <row r="423" spans="2:9">
      <c r="B423" s="156">
        <f>SYD(B418,B419,B420,10)</f>
        <v>409.09090909090907</v>
      </c>
      <c r="C423" s="93" t="s">
        <v>4897</v>
      </c>
      <c r="D423" s="93"/>
      <c r="E423" s="93"/>
      <c r="F423" s="93"/>
      <c r="G423" s="93"/>
      <c r="H423" s="93"/>
      <c r="I423" s="93"/>
    </row>
    <row r="424" spans="2:9">
      <c r="B424" s="93"/>
      <c r="C424" s="93"/>
      <c r="D424" s="93"/>
      <c r="E424" s="93"/>
      <c r="F424" s="93"/>
      <c r="G424" s="93"/>
      <c r="H424" s="93"/>
      <c r="I424" s="93"/>
    </row>
    <row r="425" spans="2:9">
      <c r="B425" s="93"/>
      <c r="C425" s="93"/>
      <c r="D425" s="93"/>
      <c r="E425" s="93" t="s">
        <v>3592</v>
      </c>
      <c r="F425" s="93"/>
      <c r="G425" s="93"/>
      <c r="H425" s="93"/>
      <c r="I425" s="93"/>
    </row>
    <row r="426" spans="2:9">
      <c r="B426" s="93"/>
      <c r="C426" s="93"/>
      <c r="D426" s="93"/>
      <c r="E426" s="93"/>
      <c r="F426" s="93"/>
      <c r="G426" s="93"/>
      <c r="H426" s="93"/>
      <c r="I426" s="93"/>
    </row>
    <row r="427" spans="2:9">
      <c r="B427" s="93"/>
      <c r="C427" s="93"/>
      <c r="D427" s="93"/>
      <c r="E427" s="93" t="s">
        <v>3592</v>
      </c>
      <c r="F427" s="93"/>
      <c r="G427" s="93"/>
      <c r="H427" s="93"/>
      <c r="I427" s="93"/>
    </row>
    <row r="500" spans="1:13" s="88" customFormat="1" ht="26.25" customHeight="1">
      <c r="A500" s="498" t="s">
        <v>730</v>
      </c>
      <c r="B500" s="498"/>
      <c r="C500" s="499"/>
      <c r="D500" s="87"/>
      <c r="E500" s="500" t="str">
        <f>HYPERLINK("#目录!A414","跳转回到目录页")</f>
        <v>跳转回到目录页</v>
      </c>
      <c r="F500" s="501"/>
    </row>
    <row r="501" spans="1:13" s="88" customFormat="1" ht="26.25" customHeight="1">
      <c r="A501" s="502" t="s">
        <v>1216</v>
      </c>
      <c r="B501" s="502"/>
      <c r="C501" s="503" t="s">
        <v>617</v>
      </c>
      <c r="D501" s="503"/>
      <c r="E501" s="503"/>
      <c r="F501" s="503"/>
      <c r="G501" s="503"/>
      <c r="H501" s="503"/>
      <c r="I501" s="503"/>
      <c r="J501" s="503"/>
      <c r="K501" s="503"/>
      <c r="L501" s="503"/>
      <c r="M501" s="503"/>
    </row>
    <row r="502" spans="1:13" s="88" customFormat="1" ht="16.5" customHeight="1">
      <c r="A502" s="496" t="s">
        <v>1217</v>
      </c>
      <c r="B502" s="496"/>
      <c r="C502" s="493" t="s">
        <v>4898</v>
      </c>
      <c r="D502" s="493"/>
      <c r="E502" s="493"/>
      <c r="F502" s="493"/>
      <c r="G502" s="493"/>
      <c r="H502" s="493"/>
      <c r="I502" s="493"/>
      <c r="J502" s="493"/>
      <c r="K502" s="493"/>
      <c r="L502" s="493"/>
      <c r="M502" s="493"/>
    </row>
    <row r="503" spans="1:13" s="88" customFormat="1" ht="16.5" customHeight="1">
      <c r="A503" s="496" t="s">
        <v>5786</v>
      </c>
      <c r="B503" s="496"/>
      <c r="C503" s="497" t="s">
        <v>617</v>
      </c>
      <c r="D503" s="497"/>
      <c r="E503" s="497"/>
      <c r="F503" s="497"/>
      <c r="G503" s="497"/>
      <c r="H503" s="497"/>
      <c r="I503" s="497"/>
      <c r="J503" s="497"/>
      <c r="K503" s="497"/>
      <c r="L503" s="497"/>
      <c r="M503" s="497"/>
    </row>
    <row r="504" spans="1:13" s="88" customFormat="1" ht="16.5" customHeight="1">
      <c r="A504" s="496" t="s">
        <v>1220</v>
      </c>
      <c r="B504" s="496"/>
      <c r="C504" s="493" t="s">
        <v>4899</v>
      </c>
      <c r="D504" s="493"/>
      <c r="E504" s="493"/>
      <c r="F504" s="493"/>
      <c r="G504" s="493"/>
      <c r="H504" s="493"/>
      <c r="I504" s="493"/>
      <c r="J504" s="493"/>
      <c r="K504" s="493"/>
      <c r="L504" s="493"/>
      <c r="M504" s="493"/>
    </row>
    <row r="505" spans="1:13" s="88" customFormat="1" ht="16.5" customHeight="1">
      <c r="A505" s="496" t="s">
        <v>5785</v>
      </c>
      <c r="B505" s="496"/>
      <c r="C505" s="493" t="s">
        <v>4900</v>
      </c>
      <c r="D505" s="493"/>
      <c r="E505" s="493"/>
      <c r="F505" s="493"/>
      <c r="G505" s="493"/>
      <c r="H505" s="493"/>
      <c r="I505" s="493"/>
      <c r="J505" s="493"/>
      <c r="K505" s="493"/>
      <c r="L505" s="493"/>
      <c r="M505" s="493"/>
    </row>
    <row r="506" spans="1:13" s="88" customFormat="1" ht="16.5" customHeight="1">
      <c r="A506" s="89" t="s">
        <v>1223</v>
      </c>
      <c r="B506" s="92" t="s">
        <v>4842</v>
      </c>
      <c r="C506" s="493" t="s">
        <v>4901</v>
      </c>
      <c r="D506" s="493"/>
      <c r="E506" s="493"/>
      <c r="F506" s="493"/>
      <c r="G506" s="493"/>
      <c r="H506" s="493"/>
      <c r="I506" s="493"/>
      <c r="J506" s="493"/>
      <c r="K506" s="493"/>
      <c r="L506" s="493"/>
      <c r="M506" s="493"/>
    </row>
    <row r="507" spans="1:13" s="88" customFormat="1" ht="24.75" customHeight="1">
      <c r="A507" s="89"/>
      <c r="B507" s="92" t="s">
        <v>4902</v>
      </c>
      <c r="C507" s="509" t="s">
        <v>4903</v>
      </c>
      <c r="D507" s="509"/>
      <c r="E507" s="509"/>
      <c r="F507" s="509"/>
      <c r="G507" s="509"/>
      <c r="H507" s="509"/>
      <c r="I507" s="509"/>
      <c r="J507" s="509"/>
      <c r="K507" s="509"/>
      <c r="L507" s="509"/>
      <c r="M507" s="509"/>
    </row>
    <row r="508" spans="1:13" s="88" customFormat="1" ht="16.5" customHeight="1">
      <c r="A508" s="89"/>
      <c r="B508" s="92" t="s">
        <v>4904</v>
      </c>
      <c r="C508" s="509" t="s">
        <v>4905</v>
      </c>
      <c r="D508" s="509"/>
      <c r="E508" s="509"/>
      <c r="F508" s="509"/>
      <c r="G508" s="509"/>
      <c r="H508" s="509"/>
      <c r="I508" s="509"/>
      <c r="J508" s="509"/>
      <c r="K508" s="509"/>
      <c r="L508" s="509"/>
      <c r="M508" s="509"/>
    </row>
    <row r="509" spans="1:13" s="88" customFormat="1" ht="16.5" customHeight="1">
      <c r="A509" s="89"/>
      <c r="B509" s="92" t="s">
        <v>4844</v>
      </c>
      <c r="C509" s="509" t="s">
        <v>4906</v>
      </c>
      <c r="D509" s="509"/>
      <c r="E509" s="509"/>
      <c r="F509" s="509"/>
      <c r="G509" s="509"/>
      <c r="H509" s="509"/>
      <c r="I509" s="509"/>
      <c r="J509" s="509"/>
      <c r="K509" s="509"/>
      <c r="L509" s="509"/>
      <c r="M509" s="509"/>
    </row>
    <row r="510" spans="1:13" s="88" customFormat="1" ht="16.5" customHeight="1">
      <c r="A510" s="89"/>
      <c r="B510" s="92" t="s">
        <v>4856</v>
      </c>
      <c r="C510" s="509" t="s">
        <v>4907</v>
      </c>
      <c r="D510" s="509"/>
      <c r="E510" s="509"/>
      <c r="F510" s="509"/>
      <c r="G510" s="509"/>
      <c r="H510" s="509"/>
      <c r="I510" s="509"/>
      <c r="J510" s="509"/>
      <c r="K510" s="509"/>
      <c r="L510" s="509"/>
      <c r="M510" s="509"/>
    </row>
    <row r="511" spans="1:13" s="88" customFormat="1" ht="16.5" customHeight="1">
      <c r="A511" s="89"/>
      <c r="B511" s="92" t="s">
        <v>4399</v>
      </c>
      <c r="C511" s="509" t="s">
        <v>4908</v>
      </c>
      <c r="D511" s="509"/>
      <c r="E511" s="509"/>
      <c r="F511" s="509"/>
      <c r="G511" s="509"/>
      <c r="H511" s="509"/>
      <c r="I511" s="509"/>
      <c r="J511" s="509"/>
      <c r="K511" s="509"/>
      <c r="L511" s="509"/>
      <c r="M511" s="509"/>
    </row>
    <row r="512" spans="1:13" s="88" customFormat="1" ht="16.5" customHeight="1">
      <c r="A512" s="89"/>
      <c r="B512" s="92" t="s">
        <v>4620</v>
      </c>
      <c r="C512" s="493" t="s">
        <v>4909</v>
      </c>
      <c r="D512" s="493"/>
      <c r="E512" s="493"/>
      <c r="F512" s="493"/>
      <c r="G512" s="493"/>
      <c r="H512" s="493"/>
      <c r="I512" s="493"/>
      <c r="J512" s="493"/>
      <c r="K512" s="493"/>
      <c r="L512" s="493"/>
      <c r="M512" s="493"/>
    </row>
    <row r="513" spans="1:13" s="88" customFormat="1" ht="24.75" customHeight="1">
      <c r="A513" s="89" t="s">
        <v>1228</v>
      </c>
      <c r="B513" s="493" t="s">
        <v>4622</v>
      </c>
      <c r="C513" s="493"/>
      <c r="D513" s="493"/>
      <c r="E513" s="493"/>
      <c r="F513" s="493"/>
      <c r="G513" s="493"/>
      <c r="H513" s="493"/>
      <c r="I513" s="493"/>
      <c r="J513" s="493"/>
      <c r="K513" s="493"/>
      <c r="L513" s="493"/>
      <c r="M513" s="493"/>
    </row>
    <row r="514" spans="1:13" ht="16.5" customHeight="1">
      <c r="A514" s="89" t="s">
        <v>1229</v>
      </c>
      <c r="B514" s="673" t="s">
        <v>2230</v>
      </c>
      <c r="C514" s="673"/>
      <c r="D514" s="673"/>
      <c r="E514" s="673"/>
      <c r="F514" s="673"/>
      <c r="G514" s="673"/>
      <c r="H514" s="673"/>
      <c r="I514" s="673"/>
      <c r="J514" s="673"/>
      <c r="K514" s="673"/>
      <c r="L514" s="673"/>
      <c r="M514" s="673"/>
    </row>
    <row r="515" spans="1:13" ht="21" customHeight="1">
      <c r="B515" s="494" t="s">
        <v>2863</v>
      </c>
      <c r="C515" s="494"/>
      <c r="D515" s="494"/>
      <c r="E515" s="494"/>
      <c r="F515" s="494"/>
      <c r="G515" s="494"/>
      <c r="H515" s="494"/>
      <c r="I515" s="494"/>
      <c r="J515" s="494"/>
      <c r="K515" s="494"/>
      <c r="L515" s="495"/>
    </row>
    <row r="516" spans="1:13" s="93" customFormat="1" ht="16.5" customHeight="1"/>
    <row r="517" spans="1:13" s="93" customFormat="1" ht="16.5" customHeight="1">
      <c r="A517" s="94" t="s">
        <v>1232</v>
      </c>
      <c r="B517" s="93" t="s">
        <v>1773</v>
      </c>
      <c r="E517" s="93" t="s">
        <v>3592</v>
      </c>
    </row>
    <row r="518" spans="1:13" ht="16.5" customHeight="1">
      <c r="B518" s="93"/>
      <c r="C518" s="93"/>
      <c r="D518" s="93"/>
      <c r="E518" s="93"/>
      <c r="F518" s="93"/>
      <c r="G518" s="93"/>
      <c r="H518" s="93"/>
    </row>
    <row r="519" spans="1:13" ht="16.5" customHeight="1">
      <c r="B519" s="93"/>
      <c r="C519" s="93"/>
      <c r="D519" s="93"/>
      <c r="E519" s="93" t="s">
        <v>3592</v>
      </c>
      <c r="F519" s="93"/>
      <c r="G519" s="93"/>
      <c r="H519" s="93"/>
    </row>
    <row r="520" spans="1:13" ht="16.5" customHeight="1">
      <c r="B520" s="94" t="s">
        <v>2288</v>
      </c>
      <c r="C520" s="94" t="s">
        <v>27</v>
      </c>
      <c r="D520" s="93"/>
      <c r="E520" s="93"/>
      <c r="F520" s="93"/>
      <c r="G520" s="93"/>
      <c r="H520" s="93"/>
    </row>
    <row r="521" spans="1:13" ht="16.5" customHeight="1">
      <c r="B521" s="93">
        <v>2400</v>
      </c>
      <c r="C521" s="93" t="s">
        <v>4868</v>
      </c>
      <c r="D521" s="93"/>
      <c r="E521" s="93" t="s">
        <v>3592</v>
      </c>
      <c r="F521" s="93"/>
      <c r="G521" s="93"/>
      <c r="H521" s="93"/>
    </row>
    <row r="522" spans="1:13" ht="16.5" customHeight="1">
      <c r="B522" s="148">
        <v>39679</v>
      </c>
      <c r="C522" s="93" t="s">
        <v>4910</v>
      </c>
      <c r="D522" s="93"/>
      <c r="E522" s="93"/>
      <c r="F522" s="93"/>
      <c r="G522" s="93"/>
      <c r="H522" s="93"/>
    </row>
    <row r="523" spans="1:13" ht="16.5" customHeight="1">
      <c r="B523" s="148">
        <v>39813</v>
      </c>
      <c r="C523" s="93" t="s">
        <v>4911</v>
      </c>
      <c r="D523" s="93"/>
      <c r="E523" s="93" t="s">
        <v>3592</v>
      </c>
      <c r="F523" s="93"/>
      <c r="G523" s="93"/>
      <c r="H523" s="93"/>
    </row>
    <row r="524" spans="1:13" ht="16.5" customHeight="1">
      <c r="B524" s="93">
        <v>300</v>
      </c>
      <c r="C524" s="93" t="s">
        <v>4869</v>
      </c>
      <c r="D524" s="93"/>
      <c r="E524" s="93"/>
      <c r="F524" s="93"/>
      <c r="G524" s="93"/>
      <c r="H524" s="93"/>
    </row>
    <row r="525" spans="1:13" ht="16.5" customHeight="1">
      <c r="B525" s="93">
        <v>1</v>
      </c>
      <c r="C525" s="93" t="s">
        <v>4519</v>
      </c>
      <c r="D525" s="93"/>
      <c r="E525" s="93" t="s">
        <v>3592</v>
      </c>
      <c r="F525" s="93"/>
      <c r="G525" s="93"/>
      <c r="H525" s="93"/>
    </row>
    <row r="526" spans="1:13" ht="16.5" customHeight="1">
      <c r="B526" s="160">
        <v>0.15</v>
      </c>
      <c r="C526" s="93" t="s">
        <v>4912</v>
      </c>
      <c r="D526" s="93"/>
      <c r="E526" s="93"/>
      <c r="F526" s="93"/>
      <c r="G526" s="93"/>
      <c r="H526" s="93"/>
    </row>
    <row r="527" spans="1:13" ht="16.5" customHeight="1">
      <c r="B527" s="93">
        <v>1</v>
      </c>
      <c r="C527" s="93" t="s">
        <v>4913</v>
      </c>
      <c r="D527" s="93"/>
      <c r="E527" s="93"/>
      <c r="F527" s="93"/>
      <c r="G527" s="93"/>
      <c r="H527" s="93"/>
    </row>
    <row r="528" spans="1:13" ht="16.5" customHeight="1">
      <c r="B528" s="94" t="s">
        <v>1431</v>
      </c>
      <c r="C528" s="94" t="s">
        <v>4885</v>
      </c>
      <c r="D528" s="93"/>
      <c r="E528" s="93"/>
      <c r="F528" s="93"/>
      <c r="G528" s="93"/>
      <c r="H528" s="93"/>
    </row>
    <row r="529" spans="2:8" ht="16.5" customHeight="1">
      <c r="B529" s="93">
        <f>AMORLINC(B521,B522,B523,B524,B525,B526,B527)</f>
        <v>360</v>
      </c>
      <c r="C529" s="93" t="s">
        <v>4914</v>
      </c>
      <c r="D529" s="93"/>
      <c r="E529" s="93"/>
      <c r="F529" s="93"/>
      <c r="G529" s="93"/>
      <c r="H529" s="93"/>
    </row>
    <row r="530" spans="2:8" ht="16.5" customHeight="1">
      <c r="B530" s="93"/>
      <c r="C530" s="93"/>
      <c r="D530" s="93"/>
      <c r="E530" s="93"/>
      <c r="F530" s="93"/>
      <c r="G530" s="93"/>
      <c r="H530" s="93"/>
    </row>
    <row r="531" spans="2:8">
      <c r="B531" s="93"/>
      <c r="C531" s="93"/>
      <c r="D531" s="93"/>
      <c r="E531" s="93"/>
      <c r="F531" s="93"/>
      <c r="G531" s="93"/>
      <c r="H531" s="93"/>
    </row>
    <row r="547" spans="5:5">
      <c r="E547" s="93"/>
    </row>
    <row r="548" spans="5:5">
      <c r="E548" s="93"/>
    </row>
    <row r="600" spans="1:13" s="88" customFormat="1" ht="26.25" customHeight="1">
      <c r="A600" s="498" t="s">
        <v>729</v>
      </c>
      <c r="B600" s="498"/>
      <c r="C600" s="499"/>
      <c r="D600" s="87"/>
      <c r="E600" s="500" t="str">
        <f>HYPERLINK("#目录!A415","跳转回到目录页")</f>
        <v>跳转回到目录页</v>
      </c>
      <c r="F600" s="501"/>
    </row>
    <row r="601" spans="1:13" s="88" customFormat="1" ht="26.25" customHeight="1">
      <c r="A601" s="502" t="s">
        <v>1216</v>
      </c>
      <c r="B601" s="502"/>
      <c r="C601" s="503" t="s">
        <v>617</v>
      </c>
      <c r="D601" s="503"/>
      <c r="E601" s="503"/>
      <c r="F601" s="503"/>
      <c r="G601" s="503"/>
      <c r="H601" s="503"/>
      <c r="I601" s="503"/>
      <c r="J601" s="503"/>
      <c r="K601" s="503"/>
      <c r="L601" s="503"/>
      <c r="M601" s="503"/>
    </row>
    <row r="602" spans="1:13" s="88" customFormat="1" ht="16.5" customHeight="1">
      <c r="A602" s="496" t="s">
        <v>1217</v>
      </c>
      <c r="B602" s="496"/>
      <c r="C602" s="493" t="s">
        <v>4915</v>
      </c>
      <c r="D602" s="493"/>
      <c r="E602" s="493"/>
      <c r="F602" s="493"/>
      <c r="G602" s="493"/>
      <c r="H602" s="493"/>
      <c r="I602" s="493"/>
      <c r="J602" s="493"/>
      <c r="K602" s="493"/>
      <c r="L602" s="493"/>
      <c r="M602" s="493"/>
    </row>
    <row r="603" spans="1:13" s="88" customFormat="1" ht="16.5" customHeight="1">
      <c r="A603" s="496" t="s">
        <v>5786</v>
      </c>
      <c r="B603" s="496"/>
      <c r="C603" s="497" t="s">
        <v>617</v>
      </c>
      <c r="D603" s="497"/>
      <c r="E603" s="497"/>
      <c r="F603" s="497"/>
      <c r="G603" s="497"/>
      <c r="H603" s="497"/>
      <c r="I603" s="497"/>
      <c r="J603" s="497"/>
      <c r="K603" s="497"/>
      <c r="L603" s="497"/>
      <c r="M603" s="497"/>
    </row>
    <row r="604" spans="1:13" s="88" customFormat="1" ht="16.5" customHeight="1">
      <c r="A604" s="496" t="s">
        <v>1220</v>
      </c>
      <c r="B604" s="496"/>
      <c r="C604" s="493" t="s">
        <v>4916</v>
      </c>
      <c r="D604" s="493"/>
      <c r="E604" s="493"/>
      <c r="F604" s="493"/>
      <c r="G604" s="493"/>
      <c r="H604" s="493"/>
      <c r="I604" s="493"/>
      <c r="J604" s="493"/>
      <c r="K604" s="493"/>
      <c r="L604" s="493"/>
      <c r="M604" s="493"/>
    </row>
    <row r="605" spans="1:13" s="88" customFormat="1" ht="16.5" customHeight="1">
      <c r="A605" s="496" t="s">
        <v>5785</v>
      </c>
      <c r="B605" s="496"/>
      <c r="C605" s="493" t="s">
        <v>4917</v>
      </c>
      <c r="D605" s="493"/>
      <c r="E605" s="493"/>
      <c r="F605" s="493"/>
      <c r="G605" s="493"/>
      <c r="H605" s="493"/>
      <c r="I605" s="493"/>
      <c r="J605" s="493"/>
      <c r="K605" s="493"/>
      <c r="L605" s="493"/>
      <c r="M605" s="493"/>
    </row>
    <row r="606" spans="1:13" s="88" customFormat="1" ht="16.5" customHeight="1">
      <c r="A606" s="89" t="s">
        <v>1223</v>
      </c>
      <c r="B606" s="92" t="s">
        <v>4842</v>
      </c>
      <c r="C606" s="493" t="s">
        <v>4901</v>
      </c>
      <c r="D606" s="493"/>
      <c r="E606" s="493"/>
      <c r="F606" s="493"/>
      <c r="G606" s="493"/>
      <c r="H606" s="493"/>
      <c r="I606" s="493"/>
      <c r="J606" s="493"/>
      <c r="K606" s="493"/>
      <c r="L606" s="493"/>
      <c r="M606" s="493"/>
    </row>
    <row r="607" spans="1:13" s="88" customFormat="1" ht="24.75" customHeight="1">
      <c r="A607" s="89"/>
      <c r="B607" s="92" t="s">
        <v>4902</v>
      </c>
      <c r="C607" s="493" t="s">
        <v>4903</v>
      </c>
      <c r="D607" s="493"/>
      <c r="E607" s="493"/>
      <c r="F607" s="493"/>
      <c r="G607" s="493"/>
      <c r="H607" s="493"/>
      <c r="I607" s="493"/>
      <c r="J607" s="493"/>
      <c r="K607" s="493"/>
      <c r="L607" s="493"/>
      <c r="M607" s="493"/>
    </row>
    <row r="608" spans="1:13" s="88" customFormat="1" ht="16.5" customHeight="1">
      <c r="A608" s="89"/>
      <c r="B608" s="90" t="s">
        <v>4904</v>
      </c>
      <c r="C608" s="493" t="s">
        <v>4905</v>
      </c>
      <c r="D608" s="493"/>
      <c r="E608" s="493"/>
      <c r="F608" s="493"/>
      <c r="G608" s="493"/>
      <c r="H608" s="493"/>
      <c r="I608" s="493"/>
      <c r="J608" s="493"/>
      <c r="K608" s="493"/>
      <c r="L608" s="493"/>
      <c r="M608" s="493"/>
    </row>
    <row r="609" spans="1:13" s="88" customFormat="1" ht="16.5" customHeight="1">
      <c r="A609" s="89"/>
      <c r="B609" s="90" t="s">
        <v>4844</v>
      </c>
      <c r="C609" s="493" t="s">
        <v>4906</v>
      </c>
      <c r="D609" s="493"/>
      <c r="E609" s="493"/>
      <c r="F609" s="493"/>
      <c r="G609" s="493"/>
      <c r="H609" s="493"/>
      <c r="I609" s="493"/>
      <c r="J609" s="493"/>
      <c r="K609" s="493"/>
      <c r="L609" s="493"/>
      <c r="M609" s="493"/>
    </row>
    <row r="610" spans="1:13" s="88" customFormat="1" ht="16.5" customHeight="1">
      <c r="A610" s="89"/>
      <c r="B610" s="90" t="s">
        <v>4856</v>
      </c>
      <c r="C610" s="509" t="s">
        <v>4907</v>
      </c>
      <c r="D610" s="509"/>
      <c r="E610" s="509"/>
      <c r="F610" s="509"/>
      <c r="G610" s="509"/>
      <c r="H610" s="509"/>
      <c r="I610" s="509"/>
      <c r="J610" s="509"/>
      <c r="K610" s="509"/>
      <c r="L610" s="509"/>
      <c r="M610" s="509"/>
    </row>
    <row r="611" spans="1:13" s="88" customFormat="1" ht="16.5" customHeight="1">
      <c r="A611" s="89"/>
      <c r="B611" s="92" t="s">
        <v>4399</v>
      </c>
      <c r="C611" s="493" t="s">
        <v>4908</v>
      </c>
      <c r="D611" s="493"/>
      <c r="E611" s="493"/>
      <c r="F611" s="493"/>
      <c r="G611" s="493"/>
      <c r="H611" s="493"/>
      <c r="I611" s="493"/>
      <c r="J611" s="493"/>
      <c r="K611" s="493"/>
      <c r="L611" s="493"/>
      <c r="M611" s="493"/>
    </row>
    <row r="612" spans="1:13" s="88" customFormat="1" ht="16.5" customHeight="1">
      <c r="A612" s="89"/>
      <c r="B612" s="90" t="s">
        <v>4620</v>
      </c>
      <c r="C612" s="493" t="s">
        <v>4909</v>
      </c>
      <c r="D612" s="493"/>
      <c r="E612" s="493"/>
      <c r="F612" s="493"/>
      <c r="G612" s="493"/>
      <c r="H612" s="493"/>
      <c r="I612" s="493"/>
      <c r="J612" s="493"/>
      <c r="K612" s="493"/>
      <c r="L612" s="493"/>
      <c r="M612" s="493"/>
    </row>
    <row r="613" spans="1:13" s="88" customFormat="1" ht="24.75" customHeight="1">
      <c r="A613" s="89" t="s">
        <v>1228</v>
      </c>
      <c r="B613" s="493" t="s">
        <v>4918</v>
      </c>
      <c r="C613" s="493"/>
      <c r="D613" s="493"/>
      <c r="E613" s="493"/>
      <c r="F613" s="493"/>
      <c r="G613" s="493"/>
      <c r="H613" s="493"/>
      <c r="I613" s="493"/>
      <c r="J613" s="493"/>
      <c r="K613" s="493"/>
      <c r="L613" s="493"/>
      <c r="M613" s="493"/>
    </row>
    <row r="614" spans="1:13" ht="38.25" customHeight="1">
      <c r="A614" s="89" t="s">
        <v>1229</v>
      </c>
      <c r="B614" s="673" t="s">
        <v>4919</v>
      </c>
      <c r="C614" s="673"/>
      <c r="D614" s="673"/>
      <c r="E614" s="673"/>
      <c r="F614" s="673"/>
      <c r="G614" s="673"/>
      <c r="H614" s="673"/>
      <c r="I614" s="673"/>
      <c r="J614" s="673"/>
      <c r="K614" s="673"/>
      <c r="L614" s="673"/>
      <c r="M614" s="673"/>
    </row>
    <row r="615" spans="1:13" ht="21" customHeight="1">
      <c r="B615" s="494" t="s">
        <v>2863</v>
      </c>
      <c r="C615" s="494"/>
      <c r="D615" s="494"/>
      <c r="E615" s="494"/>
      <c r="F615" s="494"/>
      <c r="G615" s="494"/>
      <c r="H615" s="494"/>
      <c r="I615" s="494"/>
      <c r="J615" s="494"/>
      <c r="K615" s="494"/>
      <c r="L615" s="495"/>
    </row>
    <row r="616" spans="1:13" s="93" customFormat="1" ht="16.5" customHeight="1"/>
    <row r="617" spans="1:13" s="93" customFormat="1" ht="16.5" customHeight="1">
      <c r="A617" s="94" t="s">
        <v>1232</v>
      </c>
      <c r="B617" s="93" t="s">
        <v>1773</v>
      </c>
    </row>
    <row r="618" spans="1:13" ht="16.5" customHeight="1"/>
    <row r="619" spans="1:13" ht="16.5" customHeight="1">
      <c r="B619" s="93"/>
      <c r="C619" s="93"/>
      <c r="D619" s="93"/>
      <c r="E619" s="93"/>
      <c r="F619" s="93"/>
      <c r="G619" s="93"/>
      <c r="H619" s="93"/>
      <c r="I619" s="93"/>
    </row>
    <row r="620" spans="1:13" ht="16.5" customHeight="1">
      <c r="B620" s="94" t="s">
        <v>2288</v>
      </c>
      <c r="C620" s="94" t="s">
        <v>27</v>
      </c>
      <c r="D620" s="93"/>
      <c r="E620" s="93"/>
      <c r="F620" s="93"/>
      <c r="G620" s="93"/>
      <c r="H620" s="93"/>
      <c r="I620" s="93"/>
    </row>
    <row r="621" spans="1:13" ht="16.5" customHeight="1">
      <c r="B621" s="93">
        <v>2400</v>
      </c>
      <c r="C621" s="93" t="s">
        <v>4868</v>
      </c>
      <c r="D621" s="93"/>
      <c r="E621" s="93"/>
      <c r="F621" s="93"/>
      <c r="G621" s="93"/>
      <c r="H621" s="93"/>
      <c r="I621" s="93"/>
    </row>
    <row r="622" spans="1:13" ht="16.5" customHeight="1">
      <c r="B622" s="148">
        <v>39679</v>
      </c>
      <c r="C622" s="93" t="s">
        <v>4910</v>
      </c>
      <c r="D622" s="93"/>
      <c r="E622" s="93"/>
      <c r="F622" s="93"/>
      <c r="G622" s="93"/>
      <c r="H622" s="93"/>
      <c r="I622" s="93"/>
    </row>
    <row r="623" spans="1:13" ht="16.5" customHeight="1">
      <c r="B623" s="148">
        <v>39813</v>
      </c>
      <c r="C623" s="93" t="s">
        <v>4911</v>
      </c>
      <c r="D623" s="93"/>
      <c r="E623" s="93"/>
      <c r="F623" s="93"/>
      <c r="G623" s="93"/>
      <c r="H623" s="93"/>
      <c r="I623" s="93"/>
    </row>
    <row r="624" spans="1:13" ht="16.5" customHeight="1">
      <c r="B624" s="93">
        <v>300</v>
      </c>
      <c r="C624" s="93" t="s">
        <v>4869</v>
      </c>
      <c r="D624" s="93"/>
      <c r="E624" s="93"/>
      <c r="F624" s="93"/>
      <c r="G624" s="93"/>
      <c r="H624" s="93"/>
      <c r="I624" s="93"/>
    </row>
    <row r="625" spans="2:9" ht="16.5" customHeight="1">
      <c r="B625" s="93">
        <v>1</v>
      </c>
      <c r="C625" s="93" t="s">
        <v>4519</v>
      </c>
      <c r="D625" s="93"/>
      <c r="E625" s="93"/>
      <c r="F625" s="93"/>
      <c r="G625" s="93"/>
      <c r="H625" s="93"/>
      <c r="I625" s="93"/>
    </row>
    <row r="626" spans="2:9" ht="16.5" customHeight="1">
      <c r="B626" s="160">
        <v>0.15</v>
      </c>
      <c r="C626" s="93" t="s">
        <v>4912</v>
      </c>
      <c r="D626" s="93"/>
      <c r="E626" s="93"/>
      <c r="F626" s="93"/>
      <c r="G626" s="93"/>
      <c r="H626" s="93"/>
      <c r="I626" s="93"/>
    </row>
    <row r="627" spans="2:9" ht="16.5" customHeight="1">
      <c r="B627" s="93">
        <v>1</v>
      </c>
      <c r="C627" s="93" t="s">
        <v>4913</v>
      </c>
      <c r="D627" s="93"/>
      <c r="E627" s="93"/>
      <c r="F627" s="93"/>
      <c r="G627" s="93"/>
      <c r="H627" s="93"/>
      <c r="I627" s="93"/>
    </row>
    <row r="628" spans="2:9" ht="16.5" customHeight="1">
      <c r="B628" s="94" t="s">
        <v>1431</v>
      </c>
      <c r="C628" s="94" t="s">
        <v>4885</v>
      </c>
      <c r="D628" s="93"/>
      <c r="E628" s="93"/>
      <c r="F628" s="93"/>
      <c r="G628" s="93"/>
      <c r="H628" s="93"/>
      <c r="I628" s="93"/>
    </row>
    <row r="629" spans="2:9" ht="16.5" customHeight="1">
      <c r="B629" s="93">
        <f>AMORDEGRC(B621,B622,B623,B624,B625,B626,B627)</f>
        <v>776</v>
      </c>
      <c r="C629" s="93" t="s">
        <v>4920</v>
      </c>
      <c r="D629" s="93"/>
      <c r="E629" s="93"/>
      <c r="F629" s="93"/>
      <c r="G629" s="93"/>
      <c r="H629" s="93"/>
      <c r="I629" s="93"/>
    </row>
    <row r="630" spans="2:9" ht="16.5" customHeight="1">
      <c r="B630" s="93"/>
      <c r="C630" s="93"/>
      <c r="D630" s="93"/>
      <c r="E630" s="93"/>
      <c r="F630" s="93"/>
      <c r="G630" s="93"/>
      <c r="H630" s="93"/>
      <c r="I630" s="93"/>
    </row>
    <row r="631" spans="2:9" ht="16.5" customHeight="1">
      <c r="B631" s="93"/>
      <c r="C631" s="93"/>
      <c r="D631" s="93"/>
      <c r="E631" s="93"/>
      <c r="F631" s="93"/>
      <c r="G631" s="93"/>
      <c r="H631" s="93"/>
      <c r="I631" s="93"/>
    </row>
    <row r="632" spans="2:9" ht="16.5" customHeight="1">
      <c r="B632" s="93"/>
      <c r="C632" s="93"/>
      <c r="D632" s="93"/>
      <c r="E632" s="93"/>
      <c r="F632" s="93"/>
      <c r="G632" s="93"/>
      <c r="H632" s="93"/>
      <c r="I632" s="93"/>
    </row>
  </sheetData>
  <mergeCells count="146">
    <mergeCell ref="A4:B4"/>
    <mergeCell ref="C4:M4"/>
    <mergeCell ref="A5:B5"/>
    <mergeCell ref="C5:M5"/>
    <mergeCell ref="A6:B6"/>
    <mergeCell ref="C6:M6"/>
    <mergeCell ref="A1:C1"/>
    <mergeCell ref="E1:F1"/>
    <mergeCell ref="A2:B2"/>
    <mergeCell ref="C2:M2"/>
    <mergeCell ref="A3:B3"/>
    <mergeCell ref="C3:M3"/>
    <mergeCell ref="B17:E17"/>
    <mergeCell ref="A100:C100"/>
    <mergeCell ref="E100:F100"/>
    <mergeCell ref="A101:B101"/>
    <mergeCell ref="C101:M101"/>
    <mergeCell ref="A102:B102"/>
    <mergeCell ref="C102:M102"/>
    <mergeCell ref="C7:M7"/>
    <mergeCell ref="C8:M8"/>
    <mergeCell ref="C9:M9"/>
    <mergeCell ref="B10:M10"/>
    <mergeCell ref="B11:M11"/>
    <mergeCell ref="B12:L12"/>
    <mergeCell ref="C106:M106"/>
    <mergeCell ref="C107:M107"/>
    <mergeCell ref="C108:M108"/>
    <mergeCell ref="C109:M109"/>
    <mergeCell ref="C110:M110"/>
    <mergeCell ref="B111:M111"/>
    <mergeCell ref="A103:B103"/>
    <mergeCell ref="C103:M103"/>
    <mergeCell ref="A104:B104"/>
    <mergeCell ref="C104:M104"/>
    <mergeCell ref="A105:B105"/>
    <mergeCell ref="C105:M105"/>
    <mergeCell ref="A201:B201"/>
    <mergeCell ref="C201:M201"/>
    <mergeCell ref="A202:B202"/>
    <mergeCell ref="C202:M202"/>
    <mergeCell ref="A203:B203"/>
    <mergeCell ref="C203:M203"/>
    <mergeCell ref="B112:M112"/>
    <mergeCell ref="B113:L113"/>
    <mergeCell ref="G119:H119"/>
    <mergeCell ref="G120:H120"/>
    <mergeCell ref="A200:C200"/>
    <mergeCell ref="E200:F200"/>
    <mergeCell ref="C208:M208"/>
    <mergeCell ref="C209:M209"/>
    <mergeCell ref="C210:M210"/>
    <mergeCell ref="B211:M211"/>
    <mergeCell ref="B212:M212"/>
    <mergeCell ref="B213:L213"/>
    <mergeCell ref="A204:B204"/>
    <mergeCell ref="C204:M204"/>
    <mergeCell ref="A205:B205"/>
    <mergeCell ref="C205:M205"/>
    <mergeCell ref="C206:M206"/>
    <mergeCell ref="C207:M207"/>
    <mergeCell ref="A303:B303"/>
    <mergeCell ref="C303:M303"/>
    <mergeCell ref="A304:B304"/>
    <mergeCell ref="C304:M304"/>
    <mergeCell ref="A305:B305"/>
    <mergeCell ref="C305:M305"/>
    <mergeCell ref="A300:C300"/>
    <mergeCell ref="E300:F300"/>
    <mergeCell ref="A301:B301"/>
    <mergeCell ref="C301:M301"/>
    <mergeCell ref="A302:B302"/>
    <mergeCell ref="C302:M302"/>
    <mergeCell ref="C312:M312"/>
    <mergeCell ref="B313:M313"/>
    <mergeCell ref="B314:M314"/>
    <mergeCell ref="B315:L315"/>
    <mergeCell ref="A400:C400"/>
    <mergeCell ref="E400:F400"/>
    <mergeCell ref="C306:M306"/>
    <mergeCell ref="C307:M307"/>
    <mergeCell ref="C308:M308"/>
    <mergeCell ref="C309:M309"/>
    <mergeCell ref="C310:M310"/>
    <mergeCell ref="C311:M311"/>
    <mergeCell ref="A404:B404"/>
    <mergeCell ref="C404:M404"/>
    <mergeCell ref="A405:B405"/>
    <mergeCell ref="C405:M405"/>
    <mergeCell ref="C406:M406"/>
    <mergeCell ref="C407:M407"/>
    <mergeCell ref="A401:B401"/>
    <mergeCell ref="C401:M401"/>
    <mergeCell ref="A402:B402"/>
    <mergeCell ref="C402:M402"/>
    <mergeCell ref="A403:B403"/>
    <mergeCell ref="C403:M403"/>
    <mergeCell ref="A501:B501"/>
    <mergeCell ref="C501:M501"/>
    <mergeCell ref="A502:B502"/>
    <mergeCell ref="C502:M502"/>
    <mergeCell ref="A503:B503"/>
    <mergeCell ref="C503:M503"/>
    <mergeCell ref="C408:M408"/>
    <mergeCell ref="C409:M409"/>
    <mergeCell ref="B410:M410"/>
    <mergeCell ref="B411:M411"/>
    <mergeCell ref="B412:L412"/>
    <mergeCell ref="A500:C500"/>
    <mergeCell ref="E500:F500"/>
    <mergeCell ref="C508:M508"/>
    <mergeCell ref="C509:M509"/>
    <mergeCell ref="C510:M510"/>
    <mergeCell ref="C511:M511"/>
    <mergeCell ref="C512:M512"/>
    <mergeCell ref="B513:M513"/>
    <mergeCell ref="A504:B504"/>
    <mergeCell ref="C504:M504"/>
    <mergeCell ref="A505:B505"/>
    <mergeCell ref="C505:M505"/>
    <mergeCell ref="C506:M506"/>
    <mergeCell ref="C507:M507"/>
    <mergeCell ref="A602:B602"/>
    <mergeCell ref="C602:M602"/>
    <mergeCell ref="A603:B603"/>
    <mergeCell ref="C603:M603"/>
    <mergeCell ref="A604:B604"/>
    <mergeCell ref="C604:M604"/>
    <mergeCell ref="B514:M514"/>
    <mergeCell ref="B515:L515"/>
    <mergeCell ref="A600:C600"/>
    <mergeCell ref="E600:F600"/>
    <mergeCell ref="A601:B601"/>
    <mergeCell ref="C601:M601"/>
    <mergeCell ref="C610:M610"/>
    <mergeCell ref="C611:M611"/>
    <mergeCell ref="C612:M612"/>
    <mergeCell ref="B613:M613"/>
    <mergeCell ref="B614:M614"/>
    <mergeCell ref="B615:L615"/>
    <mergeCell ref="A605:B605"/>
    <mergeCell ref="C605:M605"/>
    <mergeCell ref="C606:M606"/>
    <mergeCell ref="C607:M607"/>
    <mergeCell ref="C608:M608"/>
    <mergeCell ref="C609:M609"/>
  </mergeCells>
  <phoneticPr fontId="2" type="noConversion"/>
  <pageMargins left="0.75" right="0.75" top="1" bottom="1" header="0.5" footer="0.5"/>
  <pageSetup paperSize="9" orientation="portrait" horizontalDpi="0" verticalDpi="0"/>
  <headerFooter scaleWithDoc="0"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1"/>
  <dimension ref="A1:AV1122"/>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620</v>
      </c>
      <c r="B1" s="498"/>
      <c r="C1" s="499"/>
      <c r="D1" s="87"/>
      <c r="E1" s="500" t="str">
        <f>HYPERLINK("#目录!A419","跳转回到目录页")</f>
        <v>跳转回到目录页</v>
      </c>
      <c r="F1" s="501"/>
    </row>
    <row r="2" spans="1:48" s="88" customFormat="1" ht="26.25" customHeight="1">
      <c r="A2" s="502" t="s">
        <v>1216</v>
      </c>
      <c r="B2" s="502"/>
      <c r="C2" s="503" t="s">
        <v>621</v>
      </c>
      <c r="D2" s="503"/>
      <c r="E2" s="503"/>
      <c r="F2" s="503"/>
      <c r="G2" s="503"/>
      <c r="H2" s="503"/>
      <c r="I2" s="503"/>
      <c r="J2" s="503"/>
      <c r="K2" s="503"/>
      <c r="L2" s="503"/>
      <c r="M2" s="503"/>
    </row>
    <row r="3" spans="1:48" s="88" customFormat="1" ht="16.5" customHeight="1">
      <c r="A3" s="496" t="s">
        <v>1217</v>
      </c>
      <c r="B3" s="496"/>
      <c r="C3" s="493" t="s">
        <v>4921</v>
      </c>
      <c r="D3" s="493"/>
      <c r="E3" s="493"/>
      <c r="F3" s="493"/>
      <c r="G3" s="493"/>
      <c r="H3" s="493"/>
      <c r="I3" s="493"/>
      <c r="J3" s="493"/>
      <c r="K3" s="493"/>
      <c r="L3" s="493"/>
      <c r="M3" s="493"/>
    </row>
    <row r="4" spans="1:48" s="88" customFormat="1" ht="16.5" customHeight="1">
      <c r="A4" s="496" t="s">
        <v>5786</v>
      </c>
      <c r="B4" s="496"/>
      <c r="C4" s="497" t="s">
        <v>4922</v>
      </c>
      <c r="D4" s="497"/>
      <c r="E4" s="497"/>
      <c r="F4" s="497"/>
      <c r="G4" s="497"/>
      <c r="H4" s="497"/>
      <c r="I4" s="497"/>
      <c r="J4" s="497"/>
      <c r="K4" s="497"/>
      <c r="L4" s="497"/>
      <c r="M4" s="497"/>
    </row>
    <row r="5" spans="1:48" s="88" customFormat="1" ht="16.5" customHeight="1">
      <c r="A5" s="496" t="s">
        <v>1220</v>
      </c>
      <c r="B5" s="496"/>
      <c r="C5" s="493" t="s">
        <v>4923</v>
      </c>
      <c r="D5" s="493"/>
      <c r="E5" s="493"/>
      <c r="F5" s="493"/>
      <c r="G5" s="493"/>
      <c r="H5" s="493"/>
      <c r="I5" s="493"/>
      <c r="J5" s="493"/>
      <c r="K5" s="493"/>
      <c r="L5" s="493"/>
      <c r="M5" s="493"/>
    </row>
    <row r="6" spans="1:48" s="88" customFormat="1" ht="16.5" customHeight="1">
      <c r="A6" s="496" t="s">
        <v>5785</v>
      </c>
      <c r="B6" s="496"/>
      <c r="C6" s="493" t="s">
        <v>4924</v>
      </c>
      <c r="D6" s="493"/>
      <c r="E6" s="493"/>
      <c r="F6" s="493"/>
      <c r="G6" s="493"/>
      <c r="H6" s="493"/>
      <c r="I6" s="493"/>
      <c r="J6" s="493"/>
      <c r="K6" s="493"/>
      <c r="L6" s="493"/>
      <c r="M6" s="493"/>
    </row>
    <row r="7" spans="1:48" s="88" customFormat="1" ht="16.5" customHeight="1">
      <c r="A7" s="89" t="s">
        <v>1223</v>
      </c>
      <c r="B7" s="92" t="s">
        <v>2200</v>
      </c>
      <c r="C7" s="493" t="s">
        <v>4925</v>
      </c>
      <c r="D7" s="493"/>
      <c r="E7" s="493"/>
      <c r="F7" s="493"/>
      <c r="G7" s="493"/>
      <c r="H7" s="493"/>
      <c r="I7" s="493"/>
      <c r="J7" s="493"/>
      <c r="K7" s="493"/>
      <c r="L7" s="493"/>
      <c r="M7" s="493"/>
    </row>
    <row r="8" spans="1:48" s="88" customFormat="1" ht="16.5" customHeight="1">
      <c r="A8" s="89"/>
      <c r="B8" s="92" t="s">
        <v>4926</v>
      </c>
      <c r="C8" s="493" t="s">
        <v>4927</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101.25" customHeight="1">
      <c r="A11" s="89" t="s">
        <v>1229</v>
      </c>
      <c r="B11" s="673" t="s">
        <v>4928</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B16" s="94" t="s">
        <v>1431</v>
      </c>
      <c r="C16" s="104" t="s">
        <v>1238</v>
      </c>
      <c r="E16" s="94" t="s">
        <v>4885</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3" t="str">
        <f>BIN2OCT(1001,3)</f>
        <v>011</v>
      </c>
      <c r="C17" s="108" t="s">
        <v>4929</v>
      </c>
      <c r="E17" s="93" t="s">
        <v>4930</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t="str">
        <f>BIN2OCT(1100100)</f>
        <v>144</v>
      </c>
      <c r="C18" s="108" t="s">
        <v>4931</v>
      </c>
      <c r="E18" s="93" t="s">
        <v>4932</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t="str">
        <f>BIN2OCT(1111111111)</f>
        <v>7777777777</v>
      </c>
      <c r="C19" s="108" t="s">
        <v>4933</v>
      </c>
      <c r="E19" s="93" t="s">
        <v>4934</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754</v>
      </c>
      <c r="B100" s="498"/>
      <c r="C100" s="499"/>
      <c r="D100" s="87"/>
      <c r="E100" s="500" t="str">
        <f>HYPERLINK("#目录!A420","跳转回到目录页")</f>
        <v>跳转回到目录页</v>
      </c>
      <c r="F100" s="501"/>
    </row>
    <row r="101" spans="1:13" s="88" customFormat="1" ht="26.25" customHeight="1">
      <c r="A101" s="502" t="s">
        <v>1216</v>
      </c>
      <c r="B101" s="502"/>
      <c r="C101" s="503" t="s">
        <v>622</v>
      </c>
      <c r="D101" s="503"/>
      <c r="E101" s="503"/>
      <c r="F101" s="503"/>
      <c r="G101" s="503"/>
      <c r="H101" s="503"/>
      <c r="I101" s="503"/>
      <c r="J101" s="503"/>
      <c r="K101" s="503"/>
      <c r="L101" s="503"/>
      <c r="M101" s="503"/>
    </row>
    <row r="102" spans="1:13" s="88" customFormat="1" ht="16.5" customHeight="1">
      <c r="A102" s="496" t="s">
        <v>1217</v>
      </c>
      <c r="B102" s="496"/>
      <c r="C102" s="493" t="s">
        <v>4935</v>
      </c>
      <c r="D102" s="493"/>
      <c r="E102" s="493"/>
      <c r="F102" s="493"/>
      <c r="G102" s="493"/>
      <c r="H102" s="493"/>
      <c r="I102" s="493"/>
      <c r="J102" s="493"/>
      <c r="K102" s="493"/>
      <c r="L102" s="493"/>
      <c r="M102" s="493"/>
    </row>
    <row r="103" spans="1:13" s="88" customFormat="1" ht="16.5" customHeight="1">
      <c r="A103" s="496" t="s">
        <v>5786</v>
      </c>
      <c r="B103" s="496"/>
      <c r="C103" s="497" t="s">
        <v>4935</v>
      </c>
      <c r="D103" s="497"/>
      <c r="E103" s="497"/>
      <c r="F103" s="497"/>
      <c r="G103" s="497"/>
      <c r="H103" s="497"/>
      <c r="I103" s="497"/>
      <c r="J103" s="497"/>
      <c r="K103" s="497"/>
      <c r="L103" s="497"/>
      <c r="M103" s="497"/>
    </row>
    <row r="104" spans="1:13" s="88" customFormat="1" ht="16.5" customHeight="1">
      <c r="A104" s="496" t="s">
        <v>1220</v>
      </c>
      <c r="B104" s="496"/>
      <c r="C104" s="493" t="s">
        <v>4936</v>
      </c>
      <c r="D104" s="493"/>
      <c r="E104" s="493"/>
      <c r="F104" s="493"/>
      <c r="G104" s="493"/>
      <c r="H104" s="493"/>
      <c r="I104" s="493"/>
      <c r="J104" s="493"/>
      <c r="K104" s="493"/>
      <c r="L104" s="493"/>
      <c r="M104" s="493"/>
    </row>
    <row r="105" spans="1:13" s="88" customFormat="1" ht="16.5" customHeight="1">
      <c r="A105" s="496" t="s">
        <v>5785</v>
      </c>
      <c r="B105" s="496"/>
      <c r="C105" s="493" t="s">
        <v>4937</v>
      </c>
      <c r="D105" s="493"/>
      <c r="E105" s="493"/>
      <c r="F105" s="493"/>
      <c r="G105" s="493"/>
      <c r="H105" s="493"/>
      <c r="I105" s="493"/>
      <c r="J105" s="493"/>
      <c r="K105" s="493"/>
      <c r="L105" s="493"/>
      <c r="M105" s="493"/>
    </row>
    <row r="106" spans="1:13" s="88" customFormat="1" ht="16.5" customHeight="1">
      <c r="A106" s="89" t="s">
        <v>1223</v>
      </c>
      <c r="B106" s="92" t="s">
        <v>2200</v>
      </c>
      <c r="C106" s="493" t="s">
        <v>4925</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25.5" customHeight="1">
      <c r="A110" s="89" t="s">
        <v>1229</v>
      </c>
      <c r="B110" s="673" t="s">
        <v>4938</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10" s="93" customFormat="1" ht="16.5" customHeight="1">
      <c r="A113" s="94" t="s">
        <v>1232</v>
      </c>
      <c r="B113" s="93" t="s">
        <v>1773</v>
      </c>
    </row>
    <row r="114" spans="1:10" ht="16.5" customHeight="1">
      <c r="A114" s="93"/>
      <c r="B114" s="93"/>
      <c r="C114" s="93"/>
      <c r="E114" s="93"/>
      <c r="F114" s="93"/>
      <c r="G114" s="93"/>
      <c r="H114" s="93"/>
      <c r="I114" s="93"/>
      <c r="J114" s="93"/>
    </row>
    <row r="115" spans="1:10" ht="16.5" customHeight="1">
      <c r="A115" s="93"/>
      <c r="B115" s="94" t="s">
        <v>1431</v>
      </c>
      <c r="C115" s="104" t="s">
        <v>1238</v>
      </c>
      <c r="D115" s="93"/>
      <c r="E115" s="94" t="s">
        <v>4885</v>
      </c>
      <c r="F115" s="93"/>
      <c r="G115" s="93"/>
      <c r="H115" s="93"/>
      <c r="I115" s="93"/>
      <c r="J115" s="93"/>
    </row>
    <row r="116" spans="1:10" ht="16.5" customHeight="1">
      <c r="A116" s="93"/>
      <c r="B116" s="93">
        <f>BIN2DEC(1100100)</f>
        <v>100</v>
      </c>
      <c r="C116" s="108" t="s">
        <v>4939</v>
      </c>
      <c r="D116" s="93"/>
      <c r="E116" s="93" t="s">
        <v>4940</v>
      </c>
      <c r="F116" s="93"/>
      <c r="G116" s="93"/>
      <c r="H116" s="93"/>
      <c r="I116" s="93"/>
      <c r="J116" s="93"/>
    </row>
    <row r="117" spans="1:10" ht="16.5" customHeight="1">
      <c r="A117" s="93"/>
      <c r="B117" s="93">
        <f>BIN2DEC(1111111111)</f>
        <v>-1</v>
      </c>
      <c r="C117" s="108" t="s">
        <v>4941</v>
      </c>
      <c r="D117" s="93"/>
      <c r="E117" s="93" t="s">
        <v>4942</v>
      </c>
      <c r="F117" s="93"/>
      <c r="G117" s="93"/>
      <c r="H117" s="93"/>
      <c r="I117" s="93"/>
      <c r="J117" s="93"/>
    </row>
    <row r="118" spans="1:10" ht="16.5" customHeight="1">
      <c r="A118" s="93"/>
      <c r="B118" s="93"/>
      <c r="C118" s="93"/>
      <c r="D118" s="93"/>
      <c r="E118" s="93"/>
      <c r="F118" s="93"/>
      <c r="G118" s="93"/>
      <c r="H118" s="93"/>
      <c r="I118" s="93"/>
      <c r="J118" s="93"/>
    </row>
    <row r="119" spans="1:10" ht="16.5" customHeight="1">
      <c r="A119" s="93"/>
      <c r="B119" s="93"/>
      <c r="C119" s="93"/>
      <c r="D119" s="93"/>
      <c r="E119" s="93"/>
      <c r="F119" s="93"/>
      <c r="G119" s="93"/>
      <c r="H119" s="93"/>
      <c r="I119" s="93"/>
      <c r="J119" s="93"/>
    </row>
    <row r="200" spans="1:13" s="88" customFormat="1" ht="26.25" customHeight="1">
      <c r="A200" s="498" t="s">
        <v>756</v>
      </c>
      <c r="B200" s="498"/>
      <c r="C200" s="499"/>
      <c r="D200" s="87"/>
      <c r="E200" s="500" t="str">
        <f>HYPERLINK("#目录!A421","跳转回到目录页")</f>
        <v>跳转回到目录页</v>
      </c>
      <c r="F200" s="501"/>
    </row>
    <row r="201" spans="1:13" s="88" customFormat="1" ht="26.25" customHeight="1">
      <c r="A201" s="502" t="s">
        <v>1216</v>
      </c>
      <c r="B201" s="502"/>
      <c r="C201" s="503" t="s">
        <v>623</v>
      </c>
      <c r="D201" s="503"/>
      <c r="E201" s="503"/>
      <c r="F201" s="503"/>
      <c r="G201" s="503"/>
      <c r="H201" s="503"/>
      <c r="I201" s="503"/>
      <c r="J201" s="503"/>
      <c r="K201" s="503"/>
      <c r="L201" s="503"/>
      <c r="M201" s="503"/>
    </row>
    <row r="202" spans="1:13" s="88" customFormat="1" ht="16.5" customHeight="1">
      <c r="A202" s="496" t="s">
        <v>1217</v>
      </c>
      <c r="B202" s="496"/>
      <c r="C202" s="493" t="s">
        <v>4943</v>
      </c>
      <c r="D202" s="493"/>
      <c r="E202" s="493"/>
      <c r="F202" s="493"/>
      <c r="G202" s="493"/>
      <c r="H202" s="493"/>
      <c r="I202" s="493"/>
      <c r="J202" s="493"/>
      <c r="K202" s="493"/>
      <c r="L202" s="493"/>
      <c r="M202" s="493"/>
    </row>
    <row r="203" spans="1:13" s="88" customFormat="1" ht="16.5" customHeight="1">
      <c r="A203" s="496" t="s">
        <v>5786</v>
      </c>
      <c r="B203" s="496"/>
      <c r="C203" s="497" t="s">
        <v>623</v>
      </c>
      <c r="D203" s="497"/>
      <c r="E203" s="497"/>
      <c r="F203" s="497"/>
      <c r="G203" s="497"/>
      <c r="H203" s="497"/>
      <c r="I203" s="497"/>
      <c r="J203" s="497"/>
      <c r="K203" s="497"/>
      <c r="L203" s="497"/>
      <c r="M203" s="497"/>
    </row>
    <row r="204" spans="1:13" s="88" customFormat="1" ht="16.5" customHeight="1">
      <c r="A204" s="496" t="s">
        <v>1220</v>
      </c>
      <c r="B204" s="496"/>
      <c r="C204" s="493" t="s">
        <v>4944</v>
      </c>
      <c r="D204" s="493"/>
      <c r="E204" s="493"/>
      <c r="F204" s="493"/>
      <c r="G204" s="493"/>
      <c r="H204" s="493"/>
      <c r="I204" s="493"/>
      <c r="J204" s="493"/>
      <c r="K204" s="493"/>
      <c r="L204" s="493"/>
      <c r="M204" s="493"/>
    </row>
    <row r="205" spans="1:13" s="88" customFormat="1" ht="16.5" customHeight="1">
      <c r="A205" s="496" t="s">
        <v>5785</v>
      </c>
      <c r="B205" s="496"/>
      <c r="C205" s="493" t="s">
        <v>4945</v>
      </c>
      <c r="D205" s="493"/>
      <c r="E205" s="493"/>
      <c r="F205" s="493"/>
      <c r="G205" s="493"/>
      <c r="H205" s="493"/>
      <c r="I205" s="493"/>
      <c r="J205" s="493"/>
      <c r="K205" s="493"/>
      <c r="L205" s="493"/>
      <c r="M205" s="493"/>
    </row>
    <row r="206" spans="1:13" s="88" customFormat="1" ht="16.5" customHeight="1">
      <c r="A206" s="89" t="s">
        <v>1223</v>
      </c>
      <c r="B206" s="92" t="s">
        <v>2200</v>
      </c>
      <c r="C206" s="493" t="s">
        <v>4925</v>
      </c>
      <c r="D206" s="493"/>
      <c r="E206" s="493"/>
      <c r="F206" s="493"/>
      <c r="G206" s="493"/>
      <c r="H206" s="493"/>
      <c r="I206" s="493"/>
      <c r="J206" s="493"/>
      <c r="K206" s="493"/>
      <c r="L206" s="493"/>
      <c r="M206" s="493"/>
    </row>
    <row r="207" spans="1:13" s="88" customFormat="1" ht="16.5" customHeight="1">
      <c r="A207" s="89"/>
      <c r="B207" s="92" t="s">
        <v>4926</v>
      </c>
      <c r="C207" s="493" t="s">
        <v>4927</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85.5" customHeight="1">
      <c r="A210" s="89" t="s">
        <v>1229</v>
      </c>
      <c r="B210" s="673" t="s">
        <v>4946</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c r="B214" s="93"/>
      <c r="C214" s="93"/>
      <c r="E214" s="93"/>
      <c r="F214" s="93"/>
      <c r="G214" s="93"/>
      <c r="H214" s="93"/>
      <c r="I214" s="93"/>
      <c r="J214" s="93"/>
    </row>
    <row r="215" spans="1:13" ht="16.5" customHeight="1">
      <c r="B215" s="93"/>
      <c r="C215" s="93"/>
      <c r="D215" s="93"/>
      <c r="E215" s="93"/>
      <c r="F215" s="93"/>
      <c r="G215" s="93"/>
      <c r="H215" s="93"/>
      <c r="I215" s="93"/>
      <c r="J215" s="93"/>
    </row>
    <row r="216" spans="1:13" ht="16.5" customHeight="1">
      <c r="B216" s="94" t="s">
        <v>1431</v>
      </c>
      <c r="C216" s="104" t="s">
        <v>1238</v>
      </c>
      <c r="D216" s="93"/>
      <c r="E216" s="94" t="s">
        <v>4885</v>
      </c>
      <c r="F216" s="93"/>
      <c r="G216" s="93"/>
      <c r="H216" s="93"/>
      <c r="I216" s="93"/>
      <c r="J216" s="93"/>
    </row>
    <row r="217" spans="1:13" ht="16.5" customHeight="1">
      <c r="B217" s="93" t="str">
        <f>BIN2HEX(11111011,4)</f>
        <v>00FB</v>
      </c>
      <c r="C217" s="108" t="s">
        <v>4947</v>
      </c>
      <c r="D217" s="93"/>
      <c r="E217" s="93" t="s">
        <v>4948</v>
      </c>
      <c r="F217" s="93"/>
      <c r="G217" s="93"/>
      <c r="H217" s="93"/>
      <c r="I217" s="93"/>
      <c r="J217" s="93"/>
    </row>
    <row r="218" spans="1:13" ht="16.5" customHeight="1">
      <c r="B218" s="93" t="str">
        <f>BIN2HEX(1110)</f>
        <v>E</v>
      </c>
      <c r="C218" s="108" t="s">
        <v>4949</v>
      </c>
      <c r="D218" s="93"/>
      <c r="E218" s="93" t="s">
        <v>4950</v>
      </c>
      <c r="F218" s="93"/>
      <c r="G218" s="93"/>
      <c r="H218" s="93"/>
      <c r="I218" s="93"/>
      <c r="J218" s="93"/>
    </row>
    <row r="219" spans="1:13" ht="16.5" customHeight="1">
      <c r="B219" s="93" t="str">
        <f>BIN2HEX(1111111111)</f>
        <v>FFFFFFFFFF</v>
      </c>
      <c r="C219" s="108" t="s">
        <v>4951</v>
      </c>
      <c r="D219" s="93"/>
      <c r="E219" s="93" t="s">
        <v>4952</v>
      </c>
      <c r="F219" s="93"/>
      <c r="G219" s="93"/>
      <c r="H219" s="93"/>
      <c r="I219" s="93"/>
      <c r="J219" s="93"/>
    </row>
    <row r="220" spans="1:13" ht="16.5" customHeight="1">
      <c r="B220" s="93"/>
      <c r="C220" s="93"/>
      <c r="D220" s="93"/>
      <c r="E220" s="93"/>
      <c r="F220" s="93"/>
      <c r="G220" s="93"/>
      <c r="H220" s="93"/>
      <c r="I220" s="93"/>
      <c r="J220" s="93"/>
    </row>
    <row r="221" spans="1:13" ht="16.5" customHeight="1">
      <c r="B221" s="93"/>
      <c r="C221" s="93"/>
      <c r="D221" s="93"/>
      <c r="E221" s="93"/>
      <c r="F221" s="93"/>
      <c r="G221" s="93"/>
      <c r="H221" s="93"/>
      <c r="I221" s="93"/>
      <c r="J221" s="93"/>
    </row>
    <row r="222" spans="1:13">
      <c r="B222" s="93"/>
      <c r="C222" s="93"/>
      <c r="D222" s="93"/>
      <c r="E222" s="93"/>
      <c r="F222" s="93"/>
      <c r="G222" s="93"/>
      <c r="H222" s="93"/>
      <c r="I222" s="93"/>
      <c r="J222" s="93"/>
    </row>
    <row r="223" spans="1:13">
      <c r="B223" s="93"/>
      <c r="C223" s="93"/>
      <c r="D223" s="93"/>
      <c r="E223" s="93"/>
      <c r="F223" s="93"/>
      <c r="G223" s="93"/>
      <c r="H223" s="93"/>
      <c r="I223" s="93"/>
      <c r="J223" s="93"/>
    </row>
    <row r="224" spans="1:13">
      <c r="B224" s="93"/>
      <c r="C224" s="93"/>
      <c r="D224" s="93"/>
      <c r="E224" s="93"/>
      <c r="F224" s="93"/>
      <c r="G224" s="93"/>
      <c r="H224" s="93"/>
      <c r="I224" s="93"/>
      <c r="J224" s="93"/>
    </row>
    <row r="225" spans="2:10">
      <c r="B225" s="93"/>
      <c r="C225" s="93"/>
      <c r="D225" s="93"/>
      <c r="E225" s="93"/>
      <c r="F225" s="93"/>
      <c r="G225" s="93"/>
      <c r="H225" s="93"/>
      <c r="I225" s="93"/>
      <c r="J225" s="93"/>
    </row>
    <row r="226" spans="2:10">
      <c r="B226" s="93"/>
      <c r="C226" s="93"/>
      <c r="D226" s="93"/>
      <c r="E226" s="93"/>
      <c r="F226" s="93"/>
      <c r="G226" s="93"/>
      <c r="H226" s="93"/>
      <c r="I226" s="93"/>
      <c r="J226" s="93"/>
    </row>
    <row r="227" spans="2:10">
      <c r="B227" s="93"/>
      <c r="C227" s="93"/>
      <c r="D227" s="93"/>
      <c r="E227" s="93"/>
      <c r="F227" s="93"/>
      <c r="G227" s="93"/>
      <c r="H227" s="93"/>
      <c r="I227" s="93"/>
      <c r="J227" s="93"/>
    </row>
    <row r="228" spans="2:10">
      <c r="B228" s="93"/>
      <c r="C228" s="93"/>
      <c r="D228" s="93"/>
      <c r="E228" s="93"/>
      <c r="F228" s="93"/>
      <c r="G228" s="93"/>
      <c r="H228" s="93"/>
      <c r="I228" s="93"/>
      <c r="J228" s="93"/>
    </row>
    <row r="300" spans="1:13" s="88" customFormat="1" ht="26.25" customHeight="1">
      <c r="A300" s="498" t="s">
        <v>1053</v>
      </c>
      <c r="B300" s="498"/>
      <c r="C300" s="499"/>
      <c r="D300" s="87"/>
      <c r="E300" s="500" t="str">
        <f>HYPERLINK("#目录!A422","跳转回到目录页")</f>
        <v>跳转回到目录页</v>
      </c>
      <c r="F300" s="501"/>
    </row>
    <row r="301" spans="1:13" s="88" customFormat="1" ht="26.25" customHeight="1">
      <c r="A301" s="502" t="s">
        <v>1216</v>
      </c>
      <c r="B301" s="502"/>
      <c r="C301" s="503" t="s">
        <v>624</v>
      </c>
      <c r="D301" s="503"/>
      <c r="E301" s="503"/>
      <c r="F301" s="503"/>
      <c r="G301" s="503"/>
      <c r="H301" s="503"/>
      <c r="I301" s="503"/>
      <c r="J301" s="503"/>
      <c r="K301" s="503"/>
      <c r="L301" s="503"/>
      <c r="M301" s="503"/>
    </row>
    <row r="302" spans="1:13" s="88" customFormat="1" ht="16.5" customHeight="1">
      <c r="A302" s="496" t="s">
        <v>1217</v>
      </c>
      <c r="B302" s="496"/>
      <c r="C302" s="493" t="s">
        <v>624</v>
      </c>
      <c r="D302" s="493"/>
      <c r="E302" s="493"/>
      <c r="F302" s="493"/>
      <c r="G302" s="493"/>
      <c r="H302" s="493"/>
      <c r="I302" s="493"/>
      <c r="J302" s="493"/>
      <c r="K302" s="493"/>
      <c r="L302" s="493"/>
      <c r="M302" s="493"/>
    </row>
    <row r="303" spans="1:13" s="88" customFormat="1" ht="16.5" customHeight="1">
      <c r="A303" s="496" t="s">
        <v>5786</v>
      </c>
      <c r="B303" s="496"/>
      <c r="C303" s="497" t="s">
        <v>624</v>
      </c>
      <c r="D303" s="497"/>
      <c r="E303" s="497"/>
      <c r="F303" s="497"/>
      <c r="G303" s="497"/>
      <c r="H303" s="497"/>
      <c r="I303" s="497"/>
      <c r="J303" s="497"/>
      <c r="K303" s="497"/>
      <c r="L303" s="497"/>
      <c r="M303" s="497"/>
    </row>
    <row r="304" spans="1:13" s="88" customFormat="1" ht="16.5" customHeight="1">
      <c r="A304" s="496" t="s">
        <v>1220</v>
      </c>
      <c r="B304" s="496"/>
      <c r="C304" s="493" t="s">
        <v>4953</v>
      </c>
      <c r="D304" s="493"/>
      <c r="E304" s="493"/>
      <c r="F304" s="493"/>
      <c r="G304" s="493"/>
      <c r="H304" s="493"/>
      <c r="I304" s="493"/>
      <c r="J304" s="493"/>
      <c r="K304" s="493"/>
      <c r="L304" s="493"/>
      <c r="M304" s="493"/>
    </row>
    <row r="305" spans="1:13" s="88" customFormat="1" ht="16.5" customHeight="1">
      <c r="A305" s="496" t="s">
        <v>5785</v>
      </c>
      <c r="B305" s="496"/>
      <c r="C305" s="493" t="s">
        <v>4954</v>
      </c>
      <c r="D305" s="493"/>
      <c r="E305" s="493"/>
      <c r="F305" s="493"/>
      <c r="G305" s="493"/>
      <c r="H305" s="493"/>
      <c r="I305" s="493"/>
      <c r="J305" s="493"/>
      <c r="K305" s="493"/>
      <c r="L305" s="493"/>
      <c r="M305" s="493"/>
    </row>
    <row r="306" spans="1:13" s="88" customFormat="1" ht="16.5" customHeight="1">
      <c r="A306" s="89" t="s">
        <v>1223</v>
      </c>
      <c r="B306" s="92" t="s">
        <v>2200</v>
      </c>
      <c r="C306" s="493" t="s">
        <v>4955</v>
      </c>
      <c r="D306" s="493"/>
      <c r="E306" s="493"/>
      <c r="F306" s="493"/>
      <c r="G306" s="493"/>
      <c r="H306" s="493"/>
      <c r="I306" s="493"/>
      <c r="J306" s="493"/>
      <c r="K306" s="493"/>
      <c r="L306" s="493"/>
      <c r="M306" s="493"/>
    </row>
    <row r="307" spans="1:13" s="88" customFormat="1" ht="16.5" customHeight="1">
      <c r="A307" s="89"/>
      <c r="B307" s="92" t="s">
        <v>4926</v>
      </c>
      <c r="C307" s="493" t="s">
        <v>4956</v>
      </c>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99" customHeight="1">
      <c r="A310" s="89" t="s">
        <v>1229</v>
      </c>
      <c r="B310" s="673" t="s">
        <v>4957</v>
      </c>
      <c r="C310" s="673"/>
      <c r="D310" s="673"/>
      <c r="E310" s="673"/>
      <c r="F310" s="673"/>
      <c r="G310" s="673"/>
      <c r="H310" s="673"/>
      <c r="I310" s="673"/>
      <c r="J310" s="673"/>
      <c r="K310" s="673"/>
      <c r="L310" s="673"/>
      <c r="M310" s="67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c r="B314" s="93"/>
      <c r="C314" s="93"/>
      <c r="E314" s="93"/>
      <c r="F314" s="93"/>
      <c r="G314" s="93"/>
      <c r="H314" s="93"/>
      <c r="I314" s="93"/>
      <c r="J314" s="93"/>
      <c r="K314" s="93"/>
      <c r="L314" s="93"/>
    </row>
    <row r="315" spans="1:13" ht="16.5" customHeight="1">
      <c r="B315" s="93"/>
      <c r="C315" s="93"/>
      <c r="E315" s="93"/>
      <c r="F315" s="93"/>
      <c r="G315" s="93"/>
      <c r="H315" s="93"/>
      <c r="I315" s="93"/>
      <c r="J315" s="93"/>
      <c r="K315" s="93"/>
      <c r="L315" s="93"/>
    </row>
    <row r="316" spans="1:13" ht="16.5" customHeight="1">
      <c r="B316" s="94" t="s">
        <v>1431</v>
      </c>
      <c r="C316" s="104" t="s">
        <v>1238</v>
      </c>
      <c r="D316" s="93"/>
      <c r="E316" s="94" t="s">
        <v>4885</v>
      </c>
      <c r="F316" s="93"/>
      <c r="G316" s="93"/>
      <c r="H316" s="93"/>
      <c r="I316" s="93"/>
      <c r="J316" s="93"/>
      <c r="K316" s="93"/>
      <c r="L316" s="93"/>
    </row>
    <row r="317" spans="1:13" ht="16.5" customHeight="1">
      <c r="B317" s="93" t="str">
        <f>OCT2BIN(3,3)</f>
        <v>011</v>
      </c>
      <c r="C317" s="108" t="s">
        <v>4958</v>
      </c>
      <c r="D317" s="93"/>
      <c r="E317" s="93" t="s">
        <v>4959</v>
      </c>
      <c r="F317" s="93"/>
      <c r="G317" s="93"/>
      <c r="H317" s="93"/>
      <c r="I317" s="93"/>
      <c r="J317" s="93"/>
      <c r="K317" s="93"/>
      <c r="L317" s="93"/>
    </row>
    <row r="318" spans="1:13" ht="16.5" customHeight="1">
      <c r="B318" s="93" t="str">
        <f>OCT2BIN(7777777000)</f>
        <v>1000000000</v>
      </c>
      <c r="C318" s="108" t="s">
        <v>4960</v>
      </c>
      <c r="D318" s="93"/>
      <c r="E318" s="93" t="s">
        <v>4961</v>
      </c>
      <c r="F318" s="93"/>
      <c r="G318" s="93"/>
      <c r="H318" s="93"/>
      <c r="I318" s="93"/>
      <c r="J318" s="93"/>
      <c r="K318" s="93"/>
      <c r="L318" s="93"/>
    </row>
    <row r="319" spans="1:13" ht="16.5" customHeight="1">
      <c r="B319" s="93"/>
      <c r="C319" s="93"/>
      <c r="D319" s="93"/>
      <c r="E319" s="93"/>
      <c r="F319" s="93"/>
      <c r="G319" s="93"/>
      <c r="H319" s="93"/>
      <c r="I319" s="93"/>
      <c r="J319" s="93"/>
      <c r="K319" s="93"/>
      <c r="L319" s="93"/>
    </row>
    <row r="320" spans="1:13" ht="16.5" customHeight="1">
      <c r="B320" s="93"/>
      <c r="C320" s="93"/>
      <c r="D320" s="93"/>
      <c r="E320" s="93"/>
      <c r="F320" s="93"/>
      <c r="G320" s="93"/>
      <c r="H320" s="93"/>
      <c r="I320" s="93"/>
      <c r="J320" s="93"/>
      <c r="K320" s="93"/>
      <c r="L320" s="93"/>
    </row>
    <row r="321" spans="2:12">
      <c r="B321" s="93"/>
      <c r="C321" s="93"/>
      <c r="D321" s="93"/>
      <c r="E321" s="93"/>
      <c r="F321" s="93"/>
      <c r="G321" s="93"/>
      <c r="H321" s="93"/>
      <c r="I321" s="93"/>
      <c r="J321" s="93"/>
      <c r="K321" s="93"/>
      <c r="L321" s="93"/>
    </row>
    <row r="322" spans="2:12">
      <c r="B322" s="93"/>
      <c r="C322" s="93"/>
      <c r="D322" s="93"/>
      <c r="E322" s="93"/>
      <c r="F322" s="93"/>
      <c r="G322" s="93"/>
      <c r="H322" s="93"/>
      <c r="I322" s="93"/>
      <c r="J322" s="93"/>
      <c r="K322" s="93"/>
      <c r="L322" s="93"/>
    </row>
    <row r="400" spans="1:6" s="88" customFormat="1" ht="26.25" customHeight="1">
      <c r="A400" s="498" t="s">
        <v>1055</v>
      </c>
      <c r="B400" s="498"/>
      <c r="C400" s="499"/>
      <c r="D400" s="87"/>
      <c r="E400" s="500" t="str">
        <f>HYPERLINK("#目录!A423","跳转回到目录页")</f>
        <v>跳转回到目录页</v>
      </c>
      <c r="F400" s="501"/>
    </row>
    <row r="401" spans="1:13" s="88" customFormat="1" ht="26.25" customHeight="1">
      <c r="A401" s="502" t="s">
        <v>1216</v>
      </c>
      <c r="B401" s="502"/>
      <c r="C401" s="503" t="s">
        <v>625</v>
      </c>
      <c r="D401" s="503"/>
      <c r="E401" s="503"/>
      <c r="F401" s="503"/>
      <c r="G401" s="503"/>
      <c r="H401" s="503"/>
      <c r="I401" s="503"/>
      <c r="J401" s="503"/>
      <c r="K401" s="503"/>
      <c r="L401" s="503"/>
      <c r="M401" s="503"/>
    </row>
    <row r="402" spans="1:13" s="88" customFormat="1" ht="16.5" customHeight="1">
      <c r="A402" s="496" t="s">
        <v>1217</v>
      </c>
      <c r="B402" s="496"/>
      <c r="C402" s="493" t="s">
        <v>4962</v>
      </c>
      <c r="D402" s="493"/>
      <c r="E402" s="493"/>
      <c r="F402" s="493"/>
      <c r="G402" s="493"/>
      <c r="H402" s="493"/>
      <c r="I402" s="493"/>
      <c r="J402" s="493"/>
      <c r="K402" s="493"/>
      <c r="L402" s="493"/>
      <c r="M402" s="493"/>
    </row>
    <row r="403" spans="1:13" s="88" customFormat="1" ht="16.5" customHeight="1">
      <c r="A403" s="496" t="s">
        <v>5786</v>
      </c>
      <c r="B403" s="496"/>
      <c r="C403" s="497" t="s">
        <v>625</v>
      </c>
      <c r="D403" s="497"/>
      <c r="E403" s="497"/>
      <c r="F403" s="497"/>
      <c r="G403" s="497"/>
      <c r="H403" s="497"/>
      <c r="I403" s="497"/>
      <c r="J403" s="497"/>
      <c r="K403" s="497"/>
      <c r="L403" s="497"/>
      <c r="M403" s="497"/>
    </row>
    <row r="404" spans="1:13" s="88" customFormat="1" ht="16.5" customHeight="1">
      <c r="A404" s="496" t="s">
        <v>1220</v>
      </c>
      <c r="B404" s="496"/>
      <c r="C404" s="493" t="s">
        <v>4963</v>
      </c>
      <c r="D404" s="493"/>
      <c r="E404" s="493"/>
      <c r="F404" s="493"/>
      <c r="G404" s="493"/>
      <c r="H404" s="493"/>
      <c r="I404" s="493"/>
      <c r="J404" s="493"/>
      <c r="K404" s="493"/>
      <c r="L404" s="493"/>
      <c r="M404" s="493"/>
    </row>
    <row r="405" spans="1:13" s="88" customFormat="1" ht="16.5" customHeight="1">
      <c r="A405" s="496" t="s">
        <v>5785</v>
      </c>
      <c r="B405" s="496"/>
      <c r="C405" s="493" t="s">
        <v>4964</v>
      </c>
      <c r="D405" s="493"/>
      <c r="E405" s="493"/>
      <c r="F405" s="493"/>
      <c r="G405" s="493"/>
      <c r="H405" s="493"/>
      <c r="I405" s="493"/>
      <c r="J405" s="493"/>
      <c r="K405" s="493"/>
      <c r="L405" s="493"/>
      <c r="M405" s="493"/>
    </row>
    <row r="406" spans="1:13" s="88" customFormat="1" ht="24.75" customHeight="1">
      <c r="A406" s="89" t="s">
        <v>1223</v>
      </c>
      <c r="B406" s="92" t="s">
        <v>2200</v>
      </c>
      <c r="C406" s="493" t="s">
        <v>4965</v>
      </c>
      <c r="D406" s="493"/>
      <c r="E406" s="493"/>
      <c r="F406" s="493"/>
      <c r="G406" s="493"/>
      <c r="H406" s="493"/>
      <c r="I406" s="493"/>
      <c r="J406" s="493"/>
      <c r="K406" s="493"/>
      <c r="L406" s="493"/>
      <c r="M406" s="493"/>
    </row>
    <row r="407" spans="1:13" s="88" customFormat="1" ht="16.5" customHeight="1">
      <c r="A407" s="89"/>
      <c r="B407" s="92"/>
      <c r="C407" s="493"/>
      <c r="D407" s="493"/>
      <c r="E407" s="493"/>
      <c r="F407" s="493"/>
      <c r="G407" s="493"/>
      <c r="H407" s="493"/>
      <c r="I407" s="493"/>
      <c r="J407" s="493"/>
      <c r="K407" s="493"/>
      <c r="L407" s="493"/>
      <c r="M407" s="493"/>
    </row>
    <row r="408" spans="1:13" s="88" customFormat="1" ht="16.5" customHeight="1">
      <c r="A408" s="89"/>
      <c r="B408" s="90"/>
      <c r="C408" s="493"/>
      <c r="D408" s="493"/>
      <c r="E408" s="493"/>
      <c r="F408" s="493"/>
      <c r="G408" s="493"/>
      <c r="H408" s="493"/>
      <c r="I408" s="493"/>
      <c r="J408" s="493"/>
      <c r="K408" s="493"/>
      <c r="L408" s="493"/>
      <c r="M408" s="493"/>
    </row>
    <row r="409" spans="1:13" s="88" customFormat="1" ht="16.5" customHeight="1">
      <c r="A409" s="89" t="s">
        <v>1228</v>
      </c>
      <c r="B409" s="493"/>
      <c r="C409" s="493"/>
      <c r="D409" s="493"/>
      <c r="E409" s="493"/>
      <c r="F409" s="493"/>
      <c r="G409" s="493"/>
      <c r="H409" s="493"/>
      <c r="I409" s="493"/>
      <c r="J409" s="493"/>
      <c r="K409" s="493"/>
      <c r="L409" s="493"/>
      <c r="M409" s="493"/>
    </row>
    <row r="410" spans="1:13" ht="24.75" customHeight="1">
      <c r="A410" s="89" t="s">
        <v>1229</v>
      </c>
      <c r="B410" s="673" t="s">
        <v>4966</v>
      </c>
      <c r="C410" s="673"/>
      <c r="D410" s="673"/>
      <c r="E410" s="673"/>
      <c r="F410" s="673"/>
      <c r="G410" s="673"/>
      <c r="H410" s="673"/>
      <c r="I410" s="673"/>
      <c r="J410" s="673"/>
      <c r="K410" s="673"/>
      <c r="L410" s="673"/>
      <c r="M410" s="673"/>
    </row>
    <row r="411" spans="1:13" ht="21" customHeight="1">
      <c r="B411" s="494" t="s">
        <v>2863</v>
      </c>
      <c r="C411" s="494"/>
      <c r="D411" s="494"/>
      <c r="E411" s="494"/>
      <c r="F411" s="494"/>
      <c r="G411" s="494"/>
      <c r="H411" s="494"/>
      <c r="I411" s="494"/>
      <c r="J411" s="494"/>
      <c r="K411" s="494"/>
      <c r="L411" s="495"/>
    </row>
    <row r="412" spans="1:13" s="93" customFormat="1" ht="16.5" customHeight="1"/>
    <row r="413" spans="1:13" s="93" customFormat="1" ht="16.5" customHeight="1">
      <c r="A413" s="94" t="s">
        <v>1232</v>
      </c>
      <c r="B413" s="93" t="s">
        <v>1773</v>
      </c>
    </row>
    <row r="414" spans="1:13" ht="16.5" customHeight="1">
      <c r="B414" s="93"/>
      <c r="C414" s="93"/>
      <c r="E414" s="93"/>
      <c r="F414" s="93"/>
      <c r="G414" s="93"/>
      <c r="H414" s="93"/>
      <c r="I414" s="93"/>
      <c r="J414" s="93"/>
    </row>
    <row r="415" spans="1:13" ht="16.5" customHeight="1">
      <c r="B415" s="93"/>
      <c r="C415" s="93"/>
      <c r="D415" s="93"/>
      <c r="E415" s="93"/>
      <c r="F415" s="93"/>
      <c r="G415" s="93"/>
      <c r="H415" s="93"/>
      <c r="I415" s="93"/>
      <c r="J415" s="93"/>
    </row>
    <row r="416" spans="1:13" ht="16.5" customHeight="1">
      <c r="B416" s="94" t="s">
        <v>1431</v>
      </c>
      <c r="C416" s="104" t="s">
        <v>1238</v>
      </c>
      <c r="D416" s="93"/>
      <c r="E416" s="94" t="s">
        <v>4885</v>
      </c>
      <c r="F416" s="93"/>
      <c r="G416" s="93"/>
      <c r="H416" s="93"/>
      <c r="I416" s="93"/>
      <c r="J416" s="93"/>
    </row>
    <row r="417" spans="2:10" ht="16.5" customHeight="1">
      <c r="B417" s="93">
        <f>OCT2DEC(54)</f>
        <v>44</v>
      </c>
      <c r="C417" s="108" t="s">
        <v>4967</v>
      </c>
      <c r="D417" s="93"/>
      <c r="E417" s="93" t="s">
        <v>4968</v>
      </c>
      <c r="F417" s="93"/>
      <c r="G417" s="93"/>
      <c r="H417" s="93"/>
      <c r="I417" s="93"/>
      <c r="J417" s="93"/>
    </row>
    <row r="418" spans="2:10" ht="16.5" customHeight="1">
      <c r="B418" s="93">
        <f>OCT2DEC(7777777533)</f>
        <v>-165</v>
      </c>
      <c r="C418" s="108" t="s">
        <v>4969</v>
      </c>
      <c r="D418" s="93"/>
      <c r="E418" s="93" t="s">
        <v>4970</v>
      </c>
      <c r="F418" s="93"/>
      <c r="G418" s="93"/>
      <c r="H418" s="93"/>
      <c r="I418" s="93"/>
      <c r="J418" s="93"/>
    </row>
    <row r="419" spans="2:10">
      <c r="B419" s="93"/>
      <c r="C419" s="93"/>
      <c r="D419" s="93"/>
      <c r="E419" s="93"/>
      <c r="F419" s="93"/>
      <c r="G419" s="93"/>
      <c r="H419" s="93"/>
      <c r="I419" s="93"/>
      <c r="J419" s="93"/>
    </row>
    <row r="420" spans="2:10">
      <c r="B420" s="93"/>
      <c r="C420" s="93"/>
      <c r="D420" s="93"/>
      <c r="E420" s="93"/>
      <c r="F420" s="93"/>
      <c r="G420" s="93"/>
      <c r="H420" s="93"/>
      <c r="I420" s="93"/>
      <c r="J420" s="93"/>
    </row>
    <row r="421" spans="2:10">
      <c r="B421" s="93"/>
      <c r="C421" s="93"/>
      <c r="D421" s="93"/>
      <c r="E421" s="93"/>
      <c r="F421" s="93"/>
      <c r="G421" s="93"/>
      <c r="H421" s="93"/>
      <c r="I421" s="93"/>
      <c r="J421" s="93"/>
    </row>
    <row r="422" spans="2:10">
      <c r="B422" s="93"/>
      <c r="C422" s="93"/>
      <c r="D422" s="93"/>
      <c r="E422" s="93"/>
      <c r="F422" s="93"/>
      <c r="G422" s="93"/>
      <c r="H422" s="93"/>
      <c r="I422" s="93"/>
      <c r="J422" s="93"/>
    </row>
    <row r="423" spans="2:10">
      <c r="B423" s="93"/>
      <c r="C423" s="93"/>
      <c r="D423" s="93"/>
      <c r="E423" s="93"/>
      <c r="F423" s="93"/>
      <c r="G423" s="93"/>
      <c r="H423" s="93"/>
      <c r="I423" s="93"/>
      <c r="J423" s="93"/>
    </row>
    <row r="424" spans="2:10">
      <c r="B424" s="93"/>
      <c r="C424" s="93"/>
      <c r="D424" s="93"/>
      <c r="E424" s="93"/>
      <c r="F424" s="93"/>
      <c r="G424" s="93"/>
      <c r="H424" s="93"/>
      <c r="I424" s="93"/>
      <c r="J424" s="93"/>
    </row>
    <row r="425" spans="2:10">
      <c r="B425" s="93"/>
      <c r="C425" s="93"/>
      <c r="D425" s="93"/>
      <c r="E425" s="93"/>
      <c r="F425" s="93"/>
      <c r="G425" s="93"/>
      <c r="H425" s="93"/>
      <c r="I425" s="93"/>
      <c r="J425" s="93"/>
    </row>
    <row r="426" spans="2:10">
      <c r="B426" s="93"/>
      <c r="C426" s="93"/>
      <c r="D426" s="93"/>
      <c r="E426" s="93"/>
      <c r="F426" s="93"/>
      <c r="G426" s="93"/>
      <c r="H426" s="93"/>
      <c r="I426" s="93"/>
      <c r="J426" s="93"/>
    </row>
    <row r="500" spans="1:13" s="88" customFormat="1" ht="26.25" customHeight="1">
      <c r="A500" s="498" t="s">
        <v>828</v>
      </c>
      <c r="B500" s="498"/>
      <c r="C500" s="499"/>
      <c r="D500" s="87"/>
      <c r="E500" s="500" t="str">
        <f>HYPERLINK("#目录!A424","跳转回到目录页")</f>
        <v>跳转回到目录页</v>
      </c>
      <c r="F500" s="501"/>
    </row>
    <row r="501" spans="1:13" s="88" customFormat="1" ht="26.25" customHeight="1">
      <c r="A501" s="502" t="s">
        <v>1216</v>
      </c>
      <c r="B501" s="502"/>
      <c r="C501" s="503" t="s">
        <v>626</v>
      </c>
      <c r="D501" s="503"/>
      <c r="E501" s="503"/>
      <c r="F501" s="503"/>
      <c r="G501" s="503"/>
      <c r="H501" s="503"/>
      <c r="I501" s="503"/>
      <c r="J501" s="503"/>
      <c r="K501" s="503"/>
      <c r="L501" s="503"/>
      <c r="M501" s="503"/>
    </row>
    <row r="502" spans="1:13" s="88" customFormat="1" ht="16.5" customHeight="1">
      <c r="A502" s="496" t="s">
        <v>1217</v>
      </c>
      <c r="B502" s="496"/>
      <c r="C502" s="493" t="s">
        <v>4971</v>
      </c>
      <c r="D502" s="493"/>
      <c r="E502" s="493"/>
      <c r="F502" s="493"/>
      <c r="G502" s="493"/>
      <c r="H502" s="493"/>
      <c r="I502" s="493"/>
      <c r="J502" s="493"/>
      <c r="K502" s="493"/>
      <c r="L502" s="493"/>
      <c r="M502" s="493"/>
    </row>
    <row r="503" spans="1:13" s="88" customFormat="1" ht="16.5" customHeight="1">
      <c r="A503" s="496" t="s">
        <v>5786</v>
      </c>
      <c r="B503" s="496"/>
      <c r="C503" s="497" t="s">
        <v>4971</v>
      </c>
      <c r="D503" s="497"/>
      <c r="E503" s="497"/>
      <c r="F503" s="497"/>
      <c r="G503" s="497"/>
      <c r="H503" s="497"/>
      <c r="I503" s="497"/>
      <c r="J503" s="497"/>
      <c r="K503" s="497"/>
      <c r="L503" s="497"/>
      <c r="M503" s="497"/>
    </row>
    <row r="504" spans="1:13" s="88" customFormat="1" ht="16.5" customHeight="1">
      <c r="A504" s="496" t="s">
        <v>1220</v>
      </c>
      <c r="B504" s="496"/>
      <c r="C504" s="493" t="s">
        <v>4972</v>
      </c>
      <c r="D504" s="493"/>
      <c r="E504" s="493"/>
      <c r="F504" s="493"/>
      <c r="G504" s="493"/>
      <c r="H504" s="493"/>
      <c r="I504" s="493"/>
      <c r="J504" s="493"/>
      <c r="K504" s="493"/>
      <c r="L504" s="493"/>
      <c r="M504" s="493"/>
    </row>
    <row r="505" spans="1:13" s="88" customFormat="1" ht="16.5" customHeight="1">
      <c r="A505" s="496" t="s">
        <v>5785</v>
      </c>
      <c r="B505" s="496"/>
      <c r="C505" s="493" t="s">
        <v>4973</v>
      </c>
      <c r="D505" s="493"/>
      <c r="E505" s="493"/>
      <c r="F505" s="493"/>
      <c r="G505" s="493"/>
      <c r="H505" s="493"/>
      <c r="I505" s="493"/>
      <c r="J505" s="493"/>
      <c r="K505" s="493"/>
      <c r="L505" s="493"/>
      <c r="M505" s="493"/>
    </row>
    <row r="506" spans="1:13" s="88" customFormat="1" ht="24.75" customHeight="1">
      <c r="A506" s="89" t="s">
        <v>1223</v>
      </c>
      <c r="B506" s="92" t="s">
        <v>2200</v>
      </c>
      <c r="C506" s="493" t="s">
        <v>4974</v>
      </c>
      <c r="D506" s="493"/>
      <c r="E506" s="493"/>
      <c r="F506" s="493"/>
      <c r="G506" s="493"/>
      <c r="H506" s="493"/>
      <c r="I506" s="493"/>
      <c r="J506" s="493"/>
      <c r="K506" s="493"/>
      <c r="L506" s="493"/>
      <c r="M506" s="493"/>
    </row>
    <row r="507" spans="1:13" s="88" customFormat="1" ht="16.5" customHeight="1">
      <c r="A507" s="89"/>
      <c r="B507" s="92" t="s">
        <v>4926</v>
      </c>
      <c r="C507" s="493" t="s">
        <v>4975</v>
      </c>
      <c r="D507" s="493"/>
      <c r="E507" s="493"/>
      <c r="F507" s="493"/>
      <c r="G507" s="493"/>
      <c r="H507" s="493"/>
      <c r="I507" s="493"/>
      <c r="J507" s="493"/>
      <c r="K507" s="493"/>
      <c r="L507" s="493"/>
      <c r="M507" s="493"/>
    </row>
    <row r="508" spans="1:13" s="88" customFormat="1" ht="16.5" customHeight="1">
      <c r="A508" s="89"/>
      <c r="B508" s="90"/>
      <c r="C508" s="493"/>
      <c r="D508" s="493"/>
      <c r="E508" s="493"/>
      <c r="F508" s="493"/>
      <c r="G508" s="493"/>
      <c r="H508" s="493"/>
      <c r="I508" s="493"/>
      <c r="J508" s="493"/>
      <c r="K508" s="493"/>
      <c r="L508" s="493"/>
      <c r="M508" s="493"/>
    </row>
    <row r="509" spans="1:13" s="88" customFormat="1" ht="16.5" customHeight="1">
      <c r="A509" s="89" t="s">
        <v>1228</v>
      </c>
      <c r="B509" s="493"/>
      <c r="C509" s="493"/>
      <c r="D509" s="493"/>
      <c r="E509" s="493"/>
      <c r="F509" s="493"/>
      <c r="G509" s="493"/>
      <c r="H509" s="493"/>
      <c r="I509" s="493"/>
      <c r="J509" s="493"/>
      <c r="K509" s="493"/>
      <c r="L509" s="493"/>
      <c r="M509" s="493"/>
    </row>
    <row r="510" spans="1:13" ht="85.5" customHeight="1">
      <c r="A510" s="89" t="s">
        <v>1229</v>
      </c>
      <c r="B510" s="673" t="s">
        <v>4976</v>
      </c>
      <c r="C510" s="673"/>
      <c r="D510" s="673"/>
      <c r="E510" s="673"/>
      <c r="F510" s="673"/>
      <c r="G510" s="673"/>
      <c r="H510" s="673"/>
      <c r="I510" s="673"/>
      <c r="J510" s="673"/>
      <c r="K510" s="673"/>
      <c r="L510" s="673"/>
      <c r="M510" s="673"/>
    </row>
    <row r="511" spans="1:13" ht="21" customHeight="1">
      <c r="B511" s="494" t="s">
        <v>2863</v>
      </c>
      <c r="C511" s="494"/>
      <c r="D511" s="494"/>
      <c r="E511" s="494"/>
      <c r="F511" s="494"/>
      <c r="G511" s="494"/>
      <c r="H511" s="494"/>
      <c r="I511" s="494"/>
      <c r="J511" s="494"/>
      <c r="K511" s="494"/>
      <c r="L511" s="495"/>
    </row>
    <row r="512" spans="1:13" s="93" customFormat="1" ht="16.5" customHeight="1"/>
    <row r="513" spans="1:10" s="93" customFormat="1" ht="16.5" customHeight="1">
      <c r="A513" s="94" t="s">
        <v>1232</v>
      </c>
      <c r="B513" s="93" t="s">
        <v>1773</v>
      </c>
    </row>
    <row r="514" spans="1:10" ht="16.5" customHeight="1">
      <c r="A514" s="93"/>
      <c r="B514" s="93"/>
      <c r="C514" s="93"/>
      <c r="E514" s="93"/>
      <c r="F514" s="93"/>
      <c r="G514" s="93"/>
      <c r="H514" s="93"/>
      <c r="I514" s="93"/>
      <c r="J514" s="93"/>
    </row>
    <row r="515" spans="1:10" ht="16.5" customHeight="1">
      <c r="A515" s="93"/>
      <c r="D515" s="93"/>
      <c r="E515" s="93"/>
      <c r="F515" s="93"/>
      <c r="G515" s="93"/>
      <c r="H515" s="93"/>
      <c r="I515" s="93"/>
      <c r="J515" s="93"/>
    </row>
    <row r="516" spans="1:10" ht="16.5" customHeight="1">
      <c r="A516" s="93"/>
      <c r="B516" s="94" t="s">
        <v>1431</v>
      </c>
      <c r="C516" s="104" t="s">
        <v>1238</v>
      </c>
      <c r="D516" s="93"/>
      <c r="E516" s="94" t="s">
        <v>4885</v>
      </c>
      <c r="F516" s="93"/>
      <c r="G516" s="93"/>
      <c r="H516" s="93"/>
      <c r="I516" s="93"/>
      <c r="J516" s="93"/>
    </row>
    <row r="517" spans="1:10" ht="16.5" customHeight="1">
      <c r="A517" s="93"/>
      <c r="B517" s="93" t="str">
        <f>DEC2HEX(100,4)</f>
        <v>0064</v>
      </c>
      <c r="C517" s="108" t="s">
        <v>4977</v>
      </c>
      <c r="D517" s="93"/>
      <c r="E517" s="93" t="s">
        <v>4978</v>
      </c>
      <c r="F517" s="93"/>
      <c r="G517" s="93"/>
      <c r="H517" s="93"/>
      <c r="I517" s="93"/>
      <c r="J517" s="93"/>
    </row>
    <row r="518" spans="1:10" ht="16.5" customHeight="1">
      <c r="A518" s="93"/>
      <c r="B518" s="93" t="str">
        <f>DEC2HEX(-54)</f>
        <v>FFFFFFFFCA</v>
      </c>
      <c r="C518" s="108" t="s">
        <v>4979</v>
      </c>
      <c r="D518" s="93"/>
      <c r="E518" s="93" t="s">
        <v>4980</v>
      </c>
      <c r="F518" s="93"/>
      <c r="G518" s="93"/>
      <c r="H518" s="93"/>
      <c r="I518" s="93"/>
      <c r="J518" s="93"/>
    </row>
    <row r="519" spans="1:10" ht="16.5" customHeight="1">
      <c r="A519" s="93"/>
      <c r="B519" s="93"/>
      <c r="C519" s="93"/>
      <c r="D519" s="93"/>
      <c r="E519" s="93"/>
      <c r="F519" s="93"/>
      <c r="G519" s="93"/>
      <c r="H519" s="93"/>
      <c r="I519" s="93"/>
      <c r="J519" s="93"/>
    </row>
    <row r="520" spans="1:10" ht="16.5" customHeight="1">
      <c r="A520" s="93"/>
      <c r="B520" s="93"/>
      <c r="C520" s="93"/>
      <c r="D520" s="93"/>
      <c r="E520" s="93"/>
      <c r="F520" s="93"/>
      <c r="G520" s="93"/>
      <c r="H520" s="93"/>
      <c r="I520" s="93"/>
      <c r="J520" s="93"/>
    </row>
    <row r="521" spans="1:10" ht="16.5" customHeight="1">
      <c r="A521" s="93"/>
      <c r="B521" s="93"/>
      <c r="C521" s="93"/>
      <c r="D521" s="93"/>
      <c r="G521" s="93"/>
      <c r="H521" s="93"/>
      <c r="I521" s="93"/>
      <c r="J521" s="93"/>
    </row>
    <row r="522" spans="1:10">
      <c r="A522" s="93"/>
      <c r="B522" s="93"/>
      <c r="C522" s="93"/>
      <c r="D522" s="93"/>
      <c r="G522" s="93"/>
      <c r="H522" s="93"/>
      <c r="I522" s="93"/>
      <c r="J522" s="93"/>
    </row>
    <row r="523" spans="1:10">
      <c r="A523" s="93"/>
      <c r="B523" s="93"/>
      <c r="C523" s="93"/>
      <c r="D523" s="93"/>
      <c r="G523" s="93"/>
      <c r="H523" s="93"/>
      <c r="I523" s="93"/>
      <c r="J523" s="93"/>
    </row>
    <row r="524" spans="1:10">
      <c r="A524" s="93"/>
      <c r="B524" s="93"/>
      <c r="C524" s="93"/>
      <c r="D524" s="93"/>
      <c r="E524" s="93"/>
      <c r="F524" s="93"/>
      <c r="G524" s="93"/>
      <c r="H524" s="93"/>
      <c r="I524" s="93"/>
      <c r="J524" s="93"/>
    </row>
    <row r="525" spans="1:10">
      <c r="A525" s="93"/>
      <c r="B525" s="93"/>
      <c r="C525" s="93"/>
      <c r="D525" s="93"/>
      <c r="G525" s="93"/>
      <c r="H525" s="93"/>
      <c r="I525" s="93"/>
      <c r="J525" s="93"/>
    </row>
    <row r="526" spans="1:10">
      <c r="A526" s="93"/>
      <c r="B526" s="93"/>
      <c r="C526" s="93"/>
      <c r="D526" s="93"/>
      <c r="G526" s="93"/>
      <c r="H526" s="93"/>
      <c r="I526" s="93"/>
      <c r="J526" s="93"/>
    </row>
    <row r="527" spans="1:10">
      <c r="A527" s="93"/>
      <c r="B527" s="93"/>
      <c r="C527" s="93"/>
      <c r="D527" s="93"/>
      <c r="G527" s="93"/>
      <c r="H527" s="93"/>
      <c r="I527" s="93"/>
      <c r="J527" s="93"/>
    </row>
    <row r="528" spans="1:10">
      <c r="A528" s="93"/>
      <c r="B528" s="93"/>
      <c r="C528" s="93"/>
      <c r="D528" s="93"/>
      <c r="G528" s="93"/>
      <c r="H528" s="93"/>
      <c r="I528" s="93"/>
      <c r="J528" s="93"/>
    </row>
    <row r="529" spans="1:10">
      <c r="A529" s="93"/>
      <c r="B529" s="93"/>
      <c r="C529" s="93"/>
      <c r="D529" s="93"/>
      <c r="G529" s="93"/>
      <c r="H529" s="93"/>
      <c r="I529" s="93"/>
      <c r="J529" s="93"/>
    </row>
    <row r="530" spans="1:10">
      <c r="A530" s="93"/>
      <c r="B530" s="93"/>
      <c r="C530" s="93"/>
      <c r="D530" s="93"/>
      <c r="G530" s="93"/>
      <c r="H530" s="93"/>
      <c r="I530" s="93"/>
      <c r="J530" s="93"/>
    </row>
    <row r="531" spans="1:10">
      <c r="A531" s="93"/>
      <c r="B531" s="93"/>
      <c r="C531" s="93"/>
      <c r="D531" s="93"/>
      <c r="G531" s="93"/>
      <c r="H531" s="93"/>
      <c r="I531" s="93"/>
      <c r="J531" s="93"/>
    </row>
    <row r="532" spans="1:10">
      <c r="A532" s="93"/>
      <c r="B532" s="93"/>
      <c r="C532" s="93"/>
      <c r="D532" s="93"/>
      <c r="G532" s="93"/>
      <c r="H532" s="93"/>
      <c r="I532" s="93"/>
      <c r="J532" s="93"/>
    </row>
    <row r="533" spans="1:10">
      <c r="A533" s="93"/>
      <c r="B533" s="93"/>
      <c r="C533" s="93"/>
      <c r="D533" s="93"/>
      <c r="G533" s="93"/>
      <c r="H533" s="93"/>
      <c r="I533" s="93"/>
      <c r="J533" s="93"/>
    </row>
    <row r="534" spans="1:10">
      <c r="A534" s="93"/>
      <c r="B534" s="93"/>
      <c r="C534" s="93"/>
      <c r="D534" s="93"/>
      <c r="G534" s="93"/>
      <c r="H534" s="93"/>
      <c r="I534" s="93"/>
      <c r="J534" s="93"/>
    </row>
    <row r="535" spans="1:10">
      <c r="A535" s="93"/>
      <c r="B535" s="93"/>
      <c r="C535" s="93"/>
      <c r="D535" s="93"/>
      <c r="G535" s="93"/>
      <c r="H535" s="93"/>
      <c r="I535" s="93"/>
      <c r="J535" s="93"/>
    </row>
    <row r="536" spans="1:10">
      <c r="A536" s="93"/>
      <c r="B536" s="93"/>
      <c r="C536" s="93"/>
      <c r="D536" s="93"/>
      <c r="G536" s="93"/>
      <c r="H536" s="93"/>
      <c r="I536" s="93"/>
      <c r="J536" s="93"/>
    </row>
    <row r="537" spans="1:10">
      <c r="A537" s="93"/>
      <c r="B537" s="93"/>
      <c r="C537" s="93"/>
      <c r="D537" s="93"/>
      <c r="G537" s="93"/>
      <c r="H537" s="93"/>
      <c r="I537" s="93"/>
      <c r="J537" s="93"/>
    </row>
    <row r="538" spans="1:10">
      <c r="A538" s="93"/>
      <c r="B538" s="93"/>
      <c r="C538" s="93"/>
      <c r="D538" s="93"/>
      <c r="E538" s="93"/>
      <c r="F538" s="93"/>
      <c r="G538" s="93"/>
      <c r="H538" s="93"/>
      <c r="I538" s="93"/>
      <c r="J538" s="93"/>
    </row>
    <row r="539" spans="1:10">
      <c r="A539" s="93"/>
      <c r="B539" s="93"/>
      <c r="C539" s="93"/>
      <c r="D539" s="93"/>
      <c r="E539" s="93"/>
      <c r="F539" s="93"/>
      <c r="G539" s="93"/>
      <c r="H539" s="93"/>
      <c r="I539" s="93"/>
      <c r="J539" s="93"/>
    </row>
    <row r="600" spans="1:13" s="88" customFormat="1" ht="26.25" customHeight="1">
      <c r="A600" s="498" t="s">
        <v>826</v>
      </c>
      <c r="B600" s="498"/>
      <c r="C600" s="499"/>
      <c r="D600" s="87"/>
      <c r="E600" s="500" t="str">
        <f>HYPERLINK("#目录!A425","跳转回到目录页")</f>
        <v>跳转回到目录页</v>
      </c>
      <c r="F600" s="501"/>
    </row>
    <row r="601" spans="1:13" s="88" customFormat="1" ht="26.25" customHeight="1">
      <c r="A601" s="502" t="s">
        <v>1216</v>
      </c>
      <c r="B601" s="502"/>
      <c r="C601" s="503" t="s">
        <v>627</v>
      </c>
      <c r="D601" s="503"/>
      <c r="E601" s="503"/>
      <c r="F601" s="503"/>
      <c r="G601" s="503"/>
      <c r="H601" s="503"/>
      <c r="I601" s="503"/>
      <c r="J601" s="503"/>
      <c r="K601" s="503"/>
      <c r="L601" s="503"/>
      <c r="M601" s="503"/>
    </row>
    <row r="602" spans="1:13" s="88" customFormat="1" ht="16.5" customHeight="1">
      <c r="A602" s="496" t="s">
        <v>1217</v>
      </c>
      <c r="B602" s="496"/>
      <c r="C602" s="493" t="s">
        <v>4981</v>
      </c>
      <c r="D602" s="493"/>
      <c r="E602" s="493"/>
      <c r="F602" s="493"/>
      <c r="G602" s="493"/>
      <c r="H602" s="493"/>
      <c r="I602" s="493"/>
      <c r="J602" s="493"/>
      <c r="K602" s="493"/>
      <c r="L602" s="493"/>
      <c r="M602" s="493"/>
    </row>
    <row r="603" spans="1:13" s="88" customFormat="1" ht="16.5" customHeight="1">
      <c r="A603" s="496" t="s">
        <v>5786</v>
      </c>
      <c r="B603" s="496"/>
      <c r="C603" s="497" t="s">
        <v>4981</v>
      </c>
      <c r="D603" s="497"/>
      <c r="E603" s="497"/>
      <c r="F603" s="497"/>
      <c r="G603" s="497"/>
      <c r="H603" s="497"/>
      <c r="I603" s="497"/>
      <c r="J603" s="497"/>
      <c r="K603" s="497"/>
      <c r="L603" s="497"/>
      <c r="M603" s="497"/>
    </row>
    <row r="604" spans="1:13" s="88" customFormat="1" ht="16.5" customHeight="1">
      <c r="A604" s="496" t="s">
        <v>1220</v>
      </c>
      <c r="B604" s="496"/>
      <c r="C604" s="493" t="s">
        <v>4982</v>
      </c>
      <c r="D604" s="493"/>
      <c r="E604" s="493"/>
      <c r="F604" s="493"/>
      <c r="G604" s="493"/>
      <c r="H604" s="493"/>
      <c r="I604" s="493"/>
      <c r="J604" s="493"/>
      <c r="K604" s="493"/>
      <c r="L604" s="493"/>
      <c r="M604" s="493"/>
    </row>
    <row r="605" spans="1:13" s="88" customFormat="1" ht="16.5" customHeight="1">
      <c r="A605" s="496" t="s">
        <v>5785</v>
      </c>
      <c r="B605" s="496"/>
      <c r="C605" s="493" t="s">
        <v>4983</v>
      </c>
      <c r="D605" s="493"/>
      <c r="E605" s="493"/>
      <c r="F605" s="493"/>
      <c r="G605" s="493"/>
      <c r="H605" s="493"/>
      <c r="I605" s="493"/>
      <c r="J605" s="493"/>
      <c r="K605" s="493"/>
      <c r="L605" s="493"/>
      <c r="M605" s="493"/>
    </row>
    <row r="606" spans="1:13" s="88" customFormat="1" ht="24.75" customHeight="1">
      <c r="A606" s="89" t="s">
        <v>1223</v>
      </c>
      <c r="B606" s="92" t="s">
        <v>2200</v>
      </c>
      <c r="C606" s="493" t="s">
        <v>4984</v>
      </c>
      <c r="D606" s="493"/>
      <c r="E606" s="493"/>
      <c r="F606" s="493"/>
      <c r="G606" s="493"/>
      <c r="H606" s="493"/>
      <c r="I606" s="493"/>
      <c r="J606" s="493"/>
      <c r="K606" s="493"/>
      <c r="L606" s="493"/>
      <c r="M606" s="493"/>
    </row>
    <row r="607" spans="1:13" s="88" customFormat="1" ht="16.5" customHeight="1">
      <c r="A607" s="89"/>
      <c r="B607" s="92" t="s">
        <v>4926</v>
      </c>
      <c r="C607" s="493" t="s">
        <v>4927</v>
      </c>
      <c r="D607" s="493"/>
      <c r="E607" s="493"/>
      <c r="F607" s="493"/>
      <c r="G607" s="493"/>
      <c r="H607" s="493"/>
      <c r="I607" s="493"/>
      <c r="J607" s="493"/>
      <c r="K607" s="493"/>
      <c r="L607" s="493"/>
      <c r="M607" s="493"/>
    </row>
    <row r="608" spans="1:13" s="88" customFormat="1" ht="16.5" customHeight="1">
      <c r="A608" s="89"/>
      <c r="B608" s="90"/>
      <c r="C608" s="493"/>
      <c r="D608" s="493"/>
      <c r="E608" s="493"/>
      <c r="F608" s="493"/>
      <c r="G608" s="493"/>
      <c r="H608" s="493"/>
      <c r="I608" s="493"/>
      <c r="J608" s="493"/>
      <c r="K608" s="493"/>
      <c r="L608" s="493"/>
      <c r="M608" s="493"/>
    </row>
    <row r="609" spans="1:13" s="88" customFormat="1" ht="16.5" customHeight="1">
      <c r="A609" s="89" t="s">
        <v>1228</v>
      </c>
      <c r="B609" s="493"/>
      <c r="C609" s="493"/>
      <c r="D609" s="493"/>
      <c r="E609" s="493"/>
      <c r="F609" s="493"/>
      <c r="G609" s="493"/>
      <c r="H609" s="493"/>
      <c r="I609" s="493"/>
      <c r="J609" s="493"/>
      <c r="K609" s="493"/>
      <c r="L609" s="493"/>
      <c r="M609" s="493"/>
    </row>
    <row r="610" spans="1:13" ht="86.25" customHeight="1">
      <c r="A610" s="89" t="s">
        <v>1229</v>
      </c>
      <c r="B610" s="673" t="s">
        <v>4985</v>
      </c>
      <c r="C610" s="673"/>
      <c r="D610" s="673"/>
      <c r="E610" s="673"/>
      <c r="F610" s="673"/>
      <c r="G610" s="673"/>
      <c r="H610" s="673"/>
      <c r="I610" s="673"/>
      <c r="J610" s="673"/>
      <c r="K610" s="673"/>
      <c r="L610" s="673"/>
      <c r="M610" s="673"/>
    </row>
    <row r="611" spans="1:13" ht="21" customHeight="1">
      <c r="B611" s="494" t="s">
        <v>2863</v>
      </c>
      <c r="C611" s="494"/>
      <c r="D611" s="494"/>
      <c r="E611" s="494"/>
      <c r="F611" s="494"/>
      <c r="G611" s="494"/>
      <c r="H611" s="494"/>
      <c r="I611" s="494"/>
      <c r="J611" s="494"/>
      <c r="K611" s="494"/>
      <c r="L611" s="495"/>
    </row>
    <row r="612" spans="1:13" s="93" customFormat="1" ht="16.5" customHeight="1"/>
    <row r="613" spans="1:13" s="93" customFormat="1" ht="16.5" customHeight="1">
      <c r="A613" s="94" t="s">
        <v>1232</v>
      </c>
      <c r="B613" s="93" t="s">
        <v>1773</v>
      </c>
    </row>
    <row r="614" spans="1:13" ht="16.5" customHeight="1">
      <c r="B614" s="93"/>
      <c r="C614" s="93"/>
      <c r="E614" s="93"/>
      <c r="F614" s="93"/>
      <c r="G614" s="93"/>
      <c r="H614" s="93"/>
      <c r="I614" s="93"/>
      <c r="J614" s="93"/>
      <c r="K614" s="93"/>
    </row>
    <row r="615" spans="1:13" ht="16.5" customHeight="1">
      <c r="B615" s="93"/>
      <c r="C615" s="93"/>
      <c r="D615" s="93"/>
      <c r="E615" s="93"/>
      <c r="F615" s="93"/>
      <c r="G615" s="93"/>
      <c r="H615" s="93"/>
      <c r="I615" s="93"/>
      <c r="J615" s="93"/>
      <c r="K615" s="93"/>
    </row>
    <row r="616" spans="1:13" ht="16.5" customHeight="1">
      <c r="B616" s="94" t="s">
        <v>1431</v>
      </c>
      <c r="C616" s="104" t="s">
        <v>1238</v>
      </c>
      <c r="D616" s="93"/>
      <c r="E616" s="94" t="s">
        <v>4885</v>
      </c>
      <c r="F616" s="93"/>
      <c r="G616" s="93"/>
      <c r="H616" s="93"/>
      <c r="I616" s="93"/>
      <c r="J616" s="93"/>
      <c r="K616" s="93"/>
    </row>
    <row r="617" spans="1:13" ht="16.5" customHeight="1">
      <c r="B617" s="93" t="str">
        <f>DEC2BIN(9,4)</f>
        <v>1001</v>
      </c>
      <c r="C617" s="108" t="s">
        <v>4986</v>
      </c>
      <c r="D617" s="93"/>
      <c r="E617" s="93" t="s">
        <v>4987</v>
      </c>
      <c r="F617" s="93"/>
      <c r="G617" s="93"/>
      <c r="H617" s="93"/>
      <c r="I617" s="93"/>
      <c r="J617" s="93"/>
      <c r="K617" s="93"/>
    </row>
    <row r="618" spans="1:13" ht="16.5" customHeight="1">
      <c r="B618" s="93" t="str">
        <f>DEC2BIN(-100)</f>
        <v>1110011100</v>
      </c>
      <c r="C618" s="108" t="s">
        <v>4988</v>
      </c>
      <c r="D618" s="93"/>
      <c r="E618" s="93" t="s">
        <v>4989</v>
      </c>
      <c r="F618" s="93"/>
      <c r="G618" s="93"/>
      <c r="H618" s="93"/>
      <c r="I618" s="93"/>
      <c r="J618" s="93"/>
      <c r="K618" s="93"/>
    </row>
    <row r="619" spans="1:13" ht="16.5" customHeight="1">
      <c r="B619" s="93"/>
      <c r="C619" s="93"/>
      <c r="D619" s="93"/>
      <c r="E619" s="93"/>
      <c r="F619" s="93"/>
      <c r="G619" s="93"/>
      <c r="H619" s="93"/>
      <c r="I619" s="93"/>
      <c r="J619" s="93"/>
      <c r="K619" s="93"/>
    </row>
    <row r="620" spans="1:13">
      <c r="B620" s="93"/>
      <c r="C620" s="93"/>
      <c r="D620" s="93"/>
      <c r="E620" s="93"/>
      <c r="F620" s="93"/>
      <c r="G620" s="93"/>
      <c r="H620" s="93"/>
      <c r="I620" s="93"/>
      <c r="J620" s="93"/>
      <c r="K620" s="93"/>
    </row>
    <row r="621" spans="1:13">
      <c r="B621" s="93"/>
      <c r="C621" s="93"/>
      <c r="D621" s="93"/>
      <c r="E621" s="93"/>
      <c r="F621" s="93"/>
      <c r="G621" s="93"/>
      <c r="H621" s="93"/>
      <c r="I621" s="93"/>
      <c r="J621" s="93"/>
      <c r="K621" s="93"/>
    </row>
    <row r="700" spans="1:13" s="88" customFormat="1" ht="26.25" customHeight="1">
      <c r="A700" s="498" t="s">
        <v>830</v>
      </c>
      <c r="B700" s="498"/>
      <c r="C700" s="499"/>
      <c r="D700" s="87"/>
      <c r="E700" s="500" t="str">
        <f>HYPERLINK("#目录!A426","跳转回到目录页")</f>
        <v>跳转回到目录页</v>
      </c>
      <c r="F700" s="501"/>
    </row>
    <row r="701" spans="1:13" s="88" customFormat="1" ht="26.25" customHeight="1">
      <c r="A701" s="502" t="s">
        <v>1216</v>
      </c>
      <c r="B701" s="502"/>
      <c r="C701" s="503" t="s">
        <v>628</v>
      </c>
      <c r="D701" s="503"/>
      <c r="E701" s="503"/>
      <c r="F701" s="503"/>
      <c r="G701" s="503"/>
      <c r="H701" s="503"/>
      <c r="I701" s="503"/>
      <c r="J701" s="503"/>
      <c r="K701" s="503"/>
      <c r="L701" s="503"/>
      <c r="M701" s="503"/>
    </row>
    <row r="702" spans="1:13" s="88" customFormat="1" ht="16.5" customHeight="1">
      <c r="A702" s="496" t="s">
        <v>1217</v>
      </c>
      <c r="B702" s="496"/>
      <c r="C702" s="493" t="s">
        <v>4990</v>
      </c>
      <c r="D702" s="493"/>
      <c r="E702" s="493"/>
      <c r="F702" s="493"/>
      <c r="G702" s="493"/>
      <c r="H702" s="493"/>
      <c r="I702" s="493"/>
      <c r="J702" s="493"/>
      <c r="K702" s="493"/>
      <c r="L702" s="493"/>
      <c r="M702" s="493"/>
    </row>
    <row r="703" spans="1:13" s="88" customFormat="1" ht="16.5" customHeight="1">
      <c r="A703" s="496" t="s">
        <v>5786</v>
      </c>
      <c r="B703" s="496"/>
      <c r="C703" s="497" t="s">
        <v>4990</v>
      </c>
      <c r="D703" s="497"/>
      <c r="E703" s="497"/>
      <c r="F703" s="497"/>
      <c r="G703" s="497"/>
      <c r="H703" s="497"/>
      <c r="I703" s="497"/>
      <c r="J703" s="497"/>
      <c r="K703" s="497"/>
      <c r="L703" s="497"/>
      <c r="M703" s="497"/>
    </row>
    <row r="704" spans="1:13" s="88" customFormat="1" ht="16.5" customHeight="1">
      <c r="A704" s="496" t="s">
        <v>1220</v>
      </c>
      <c r="B704" s="496"/>
      <c r="C704" s="493" t="s">
        <v>4991</v>
      </c>
      <c r="D704" s="493"/>
      <c r="E704" s="493"/>
      <c r="F704" s="493"/>
      <c r="G704" s="493"/>
      <c r="H704" s="493"/>
      <c r="I704" s="493"/>
      <c r="J704" s="493"/>
      <c r="K704" s="493"/>
      <c r="L704" s="493"/>
      <c r="M704" s="493"/>
    </row>
    <row r="705" spans="1:13" s="88" customFormat="1" ht="16.5" customHeight="1">
      <c r="A705" s="496" t="s">
        <v>5785</v>
      </c>
      <c r="B705" s="496"/>
      <c r="C705" s="493" t="s">
        <v>4992</v>
      </c>
      <c r="D705" s="493"/>
      <c r="E705" s="493"/>
      <c r="F705" s="493"/>
      <c r="G705" s="493"/>
      <c r="H705" s="493"/>
      <c r="I705" s="493"/>
      <c r="J705" s="493"/>
      <c r="K705" s="493"/>
      <c r="L705" s="493"/>
      <c r="M705" s="493"/>
    </row>
    <row r="706" spans="1:13" s="88" customFormat="1" ht="24.75" customHeight="1">
      <c r="A706" s="89" t="s">
        <v>1223</v>
      </c>
      <c r="B706" s="92" t="s">
        <v>2200</v>
      </c>
      <c r="C706" s="493" t="s">
        <v>4993</v>
      </c>
      <c r="D706" s="493"/>
      <c r="E706" s="493"/>
      <c r="F706" s="493"/>
      <c r="G706" s="493"/>
      <c r="H706" s="493"/>
      <c r="I706" s="493"/>
      <c r="J706" s="493"/>
      <c r="K706" s="493"/>
      <c r="L706" s="493"/>
      <c r="M706" s="493"/>
    </row>
    <row r="707" spans="1:13" s="88" customFormat="1" ht="16.5" customHeight="1">
      <c r="A707" s="89"/>
      <c r="B707" s="92" t="s">
        <v>4926</v>
      </c>
      <c r="C707" s="493" t="s">
        <v>4994</v>
      </c>
      <c r="D707" s="493"/>
      <c r="E707" s="493"/>
      <c r="F707" s="493"/>
      <c r="G707" s="493"/>
      <c r="H707" s="493"/>
      <c r="I707" s="493"/>
      <c r="J707" s="493"/>
      <c r="K707" s="493"/>
      <c r="L707" s="493"/>
      <c r="M707" s="493"/>
    </row>
    <row r="708" spans="1:13" s="88" customFormat="1" ht="16.5" customHeight="1">
      <c r="A708" s="89"/>
      <c r="B708" s="90"/>
      <c r="C708" s="493"/>
      <c r="D708" s="493"/>
      <c r="E708" s="493"/>
      <c r="F708" s="493"/>
      <c r="G708" s="493"/>
      <c r="H708" s="493"/>
      <c r="I708" s="493"/>
      <c r="J708" s="493"/>
      <c r="K708" s="493"/>
      <c r="L708" s="493"/>
      <c r="M708" s="493"/>
    </row>
    <row r="709" spans="1:13" s="88" customFormat="1" ht="16.5" customHeight="1">
      <c r="A709" s="89" t="s">
        <v>1228</v>
      </c>
      <c r="B709" s="493"/>
      <c r="C709" s="493"/>
      <c r="D709" s="493"/>
      <c r="E709" s="493"/>
      <c r="F709" s="493"/>
      <c r="G709" s="493"/>
      <c r="H709" s="493"/>
      <c r="I709" s="493"/>
      <c r="J709" s="493"/>
      <c r="K709" s="493"/>
      <c r="L709" s="493"/>
      <c r="M709" s="493"/>
    </row>
    <row r="710" spans="1:13" ht="85.5" customHeight="1">
      <c r="A710" s="89" t="s">
        <v>1229</v>
      </c>
      <c r="B710" s="673" t="s">
        <v>4995</v>
      </c>
      <c r="C710" s="673"/>
      <c r="D710" s="673"/>
      <c r="E710" s="673"/>
      <c r="F710" s="673"/>
      <c r="G710" s="673"/>
      <c r="H710" s="673"/>
      <c r="I710" s="673"/>
      <c r="J710" s="673"/>
      <c r="K710" s="673"/>
      <c r="L710" s="673"/>
      <c r="M710" s="673"/>
    </row>
    <row r="711" spans="1:13" ht="21" customHeight="1">
      <c r="B711" s="494" t="s">
        <v>2863</v>
      </c>
      <c r="C711" s="494"/>
      <c r="D711" s="494"/>
      <c r="E711" s="494"/>
      <c r="F711" s="494"/>
      <c r="G711" s="494"/>
      <c r="H711" s="494"/>
      <c r="I711" s="494"/>
      <c r="J711" s="494"/>
      <c r="K711" s="494"/>
      <c r="L711" s="495"/>
    </row>
    <row r="712" spans="1:13" s="93" customFormat="1" ht="16.5" customHeight="1"/>
    <row r="713" spans="1:13" s="93" customFormat="1" ht="16.5" customHeight="1">
      <c r="A713" s="94" t="s">
        <v>1232</v>
      </c>
      <c r="B713" s="93" t="s">
        <v>1773</v>
      </c>
    </row>
    <row r="714" spans="1:13" ht="16.5" customHeight="1">
      <c r="B714" s="93"/>
      <c r="C714" s="93"/>
      <c r="E714" s="93"/>
      <c r="F714" s="93"/>
      <c r="G714" s="93"/>
      <c r="H714" s="93"/>
      <c r="I714" s="93"/>
      <c r="J714" s="93"/>
      <c r="K714" s="93"/>
      <c r="L714" s="93"/>
    </row>
    <row r="715" spans="1:13" ht="16.5" customHeight="1">
      <c r="B715" s="93"/>
      <c r="C715" s="93"/>
      <c r="D715" s="93"/>
      <c r="E715" s="93"/>
      <c r="F715" s="93"/>
      <c r="G715" s="93"/>
      <c r="H715" s="93"/>
      <c r="I715" s="93"/>
      <c r="J715" s="93"/>
      <c r="K715" s="93"/>
      <c r="L715" s="93"/>
    </row>
    <row r="716" spans="1:13" ht="16.5" customHeight="1">
      <c r="B716" s="94" t="s">
        <v>1431</v>
      </c>
      <c r="C716" s="104" t="s">
        <v>1238</v>
      </c>
      <c r="D716" s="93"/>
      <c r="E716" s="94" t="s">
        <v>4885</v>
      </c>
      <c r="F716" s="93"/>
      <c r="G716" s="93"/>
      <c r="H716" s="93"/>
      <c r="I716" s="93"/>
      <c r="J716" s="93"/>
      <c r="K716" s="93"/>
      <c r="L716" s="93"/>
    </row>
    <row r="717" spans="1:13" ht="16.5" customHeight="1">
      <c r="B717" s="93" t="str">
        <f>DEC2OCT(58,3)</f>
        <v>072</v>
      </c>
      <c r="C717" s="108" t="s">
        <v>4996</v>
      </c>
      <c r="D717" s="93"/>
      <c r="E717" s="93" t="s">
        <v>4997</v>
      </c>
      <c r="F717" s="93"/>
      <c r="G717" s="93"/>
      <c r="H717" s="93"/>
      <c r="I717" s="93"/>
      <c r="J717" s="93"/>
      <c r="K717" s="93"/>
      <c r="L717" s="93"/>
    </row>
    <row r="718" spans="1:13" ht="16.5" customHeight="1">
      <c r="B718" s="93" t="str">
        <f>DEC2OCT(-100)</f>
        <v>7777777634</v>
      </c>
      <c r="C718" s="108" t="s">
        <v>4998</v>
      </c>
      <c r="D718" s="93"/>
      <c r="E718" s="93" t="s">
        <v>4999</v>
      </c>
      <c r="F718" s="93"/>
      <c r="G718" s="93"/>
      <c r="H718" s="93"/>
      <c r="I718" s="93"/>
      <c r="J718" s="93"/>
      <c r="K718" s="93"/>
      <c r="L718" s="93"/>
    </row>
    <row r="719" spans="1:13" ht="16.5" customHeight="1">
      <c r="B719" s="93"/>
      <c r="C719" s="93"/>
      <c r="D719" s="93"/>
      <c r="E719" s="93"/>
      <c r="F719" s="93"/>
      <c r="G719" s="93"/>
      <c r="H719" s="93"/>
      <c r="I719" s="93"/>
      <c r="J719" s="93"/>
      <c r="K719" s="93"/>
      <c r="L719" s="93"/>
    </row>
    <row r="720" spans="1:13" ht="16.5" customHeight="1">
      <c r="B720" s="93"/>
      <c r="C720" s="93"/>
      <c r="D720" s="93"/>
      <c r="E720" s="93"/>
      <c r="F720" s="93"/>
      <c r="G720" s="93"/>
      <c r="H720" s="93"/>
      <c r="I720" s="93"/>
      <c r="J720" s="93"/>
      <c r="K720" s="93"/>
      <c r="L720" s="93"/>
    </row>
    <row r="721" spans="2:12">
      <c r="B721" s="93"/>
      <c r="C721" s="93"/>
      <c r="D721" s="93"/>
      <c r="E721" s="93"/>
      <c r="F721" s="93"/>
      <c r="G721" s="93"/>
      <c r="H721" s="93"/>
      <c r="I721" s="93"/>
      <c r="J721" s="93"/>
      <c r="K721" s="93"/>
      <c r="L721" s="93"/>
    </row>
    <row r="722" spans="2:12">
      <c r="B722" s="93"/>
      <c r="C722" s="93"/>
      <c r="D722" s="93"/>
      <c r="H722" s="93"/>
      <c r="I722" s="93"/>
      <c r="J722" s="93"/>
      <c r="K722" s="93"/>
      <c r="L722" s="93"/>
    </row>
    <row r="723" spans="2:12">
      <c r="B723" s="93"/>
      <c r="C723" s="93"/>
      <c r="D723" s="93"/>
      <c r="H723" s="93"/>
      <c r="I723" s="93"/>
      <c r="J723" s="93"/>
      <c r="K723" s="93"/>
      <c r="L723" s="93"/>
    </row>
    <row r="724" spans="2:12">
      <c r="B724" s="93"/>
      <c r="C724" s="93"/>
      <c r="D724" s="93"/>
      <c r="H724" s="93"/>
      <c r="I724" s="93"/>
      <c r="J724" s="93"/>
      <c r="K724" s="93"/>
      <c r="L724" s="93"/>
    </row>
    <row r="725" spans="2:12">
      <c r="B725" s="93"/>
      <c r="C725" s="93"/>
      <c r="D725" s="93"/>
      <c r="E725" s="93"/>
      <c r="F725" s="93"/>
      <c r="G725" s="93"/>
      <c r="H725" s="93"/>
      <c r="I725" s="93"/>
      <c r="J725" s="93"/>
      <c r="K725" s="93"/>
      <c r="L725" s="93"/>
    </row>
    <row r="726" spans="2:12">
      <c r="B726" s="93"/>
      <c r="C726" s="93"/>
      <c r="D726" s="93"/>
      <c r="E726" s="93"/>
      <c r="F726" s="93"/>
      <c r="G726" s="93"/>
      <c r="H726" s="93"/>
      <c r="I726" s="93"/>
      <c r="J726" s="93"/>
      <c r="K726" s="93"/>
      <c r="L726" s="93"/>
    </row>
    <row r="727" spans="2:12">
      <c r="B727" s="93"/>
      <c r="C727" s="93"/>
      <c r="D727" s="93"/>
      <c r="E727" s="93"/>
      <c r="F727" s="93"/>
      <c r="G727" s="93"/>
      <c r="H727" s="93"/>
      <c r="I727" s="93"/>
      <c r="J727" s="93"/>
      <c r="K727" s="93"/>
      <c r="L727" s="93"/>
    </row>
    <row r="728" spans="2:12">
      <c r="B728" s="93"/>
      <c r="C728" s="93"/>
      <c r="D728" s="93"/>
      <c r="E728" s="93"/>
      <c r="F728" s="93"/>
      <c r="G728" s="93"/>
      <c r="H728" s="93"/>
      <c r="I728" s="93"/>
      <c r="J728" s="93"/>
      <c r="K728" s="93"/>
      <c r="L728" s="93"/>
    </row>
    <row r="729" spans="2:12">
      <c r="B729" s="93"/>
      <c r="C729" s="93"/>
      <c r="D729" s="93"/>
      <c r="E729" s="93"/>
      <c r="F729" s="93"/>
      <c r="G729" s="93"/>
      <c r="H729" s="93"/>
      <c r="I729" s="93"/>
      <c r="J729" s="93"/>
      <c r="K729" s="93"/>
      <c r="L729" s="93"/>
    </row>
    <row r="730" spans="2:12">
      <c r="B730" s="93"/>
      <c r="C730" s="93"/>
      <c r="D730" s="93"/>
      <c r="E730" s="93"/>
      <c r="F730" s="93"/>
      <c r="G730" s="93"/>
      <c r="H730" s="93"/>
      <c r="I730" s="93"/>
      <c r="J730" s="93"/>
      <c r="K730" s="93"/>
      <c r="L730" s="93"/>
    </row>
    <row r="800" spans="1:6" s="88" customFormat="1" ht="26.25" customHeight="1">
      <c r="A800" s="498" t="s">
        <v>828</v>
      </c>
      <c r="B800" s="498"/>
      <c r="C800" s="499"/>
      <c r="D800" s="87"/>
      <c r="E800" s="500" t="str">
        <f>HYPERLINK("#目录!A427","跳转回到目录页")</f>
        <v>跳转回到目录页</v>
      </c>
      <c r="F800" s="501"/>
    </row>
    <row r="801" spans="1:13" s="88" customFormat="1" ht="26.25" customHeight="1">
      <c r="A801" s="502" t="s">
        <v>1216</v>
      </c>
      <c r="B801" s="502"/>
      <c r="C801" s="503" t="s">
        <v>629</v>
      </c>
      <c r="D801" s="503"/>
      <c r="E801" s="503"/>
      <c r="F801" s="503"/>
      <c r="G801" s="503"/>
      <c r="H801" s="503"/>
      <c r="I801" s="503"/>
      <c r="J801" s="503"/>
      <c r="K801" s="503"/>
      <c r="L801" s="503"/>
      <c r="M801" s="503"/>
    </row>
    <row r="802" spans="1:13" s="88" customFormat="1" ht="16.5" customHeight="1">
      <c r="A802" s="496" t="s">
        <v>1217</v>
      </c>
      <c r="B802" s="496"/>
      <c r="C802" s="493" t="s">
        <v>4971</v>
      </c>
      <c r="D802" s="493"/>
      <c r="E802" s="493"/>
      <c r="F802" s="493"/>
      <c r="G802" s="493"/>
      <c r="H802" s="493"/>
      <c r="I802" s="493"/>
      <c r="J802" s="493"/>
      <c r="K802" s="493"/>
      <c r="L802" s="493"/>
      <c r="M802" s="493"/>
    </row>
    <row r="803" spans="1:13" s="88" customFormat="1" ht="16.5" customHeight="1">
      <c r="A803" s="496" t="s">
        <v>5786</v>
      </c>
      <c r="B803" s="496"/>
      <c r="C803" s="497" t="s">
        <v>4971</v>
      </c>
      <c r="D803" s="497"/>
      <c r="E803" s="497"/>
      <c r="F803" s="497"/>
      <c r="G803" s="497"/>
      <c r="H803" s="497"/>
      <c r="I803" s="497"/>
      <c r="J803" s="497"/>
      <c r="K803" s="497"/>
      <c r="L803" s="497"/>
      <c r="M803" s="497"/>
    </row>
    <row r="804" spans="1:13" s="88" customFormat="1" ht="16.5" customHeight="1">
      <c r="A804" s="496" t="s">
        <v>1220</v>
      </c>
      <c r="B804" s="496"/>
      <c r="C804" s="493" t="s">
        <v>4972</v>
      </c>
      <c r="D804" s="493"/>
      <c r="E804" s="493"/>
      <c r="F804" s="493"/>
      <c r="G804" s="493"/>
      <c r="H804" s="493"/>
      <c r="I804" s="493"/>
      <c r="J804" s="493"/>
      <c r="K804" s="493"/>
      <c r="L804" s="493"/>
      <c r="M804" s="493"/>
    </row>
    <row r="805" spans="1:13" s="88" customFormat="1" ht="16.5" customHeight="1">
      <c r="A805" s="496" t="s">
        <v>5785</v>
      </c>
      <c r="B805" s="496"/>
      <c r="C805" s="493" t="s">
        <v>4973</v>
      </c>
      <c r="D805" s="493"/>
      <c r="E805" s="493"/>
      <c r="F805" s="493"/>
      <c r="G805" s="493"/>
      <c r="H805" s="493"/>
      <c r="I805" s="493"/>
      <c r="J805" s="493"/>
      <c r="K805" s="493"/>
      <c r="L805" s="493"/>
      <c r="M805" s="493"/>
    </row>
    <row r="806" spans="1:13" s="88" customFormat="1" ht="24.75" customHeight="1">
      <c r="A806" s="89" t="s">
        <v>1223</v>
      </c>
      <c r="B806" s="92" t="s">
        <v>2200</v>
      </c>
      <c r="C806" s="493" t="s">
        <v>4974</v>
      </c>
      <c r="D806" s="493"/>
      <c r="E806" s="493"/>
      <c r="F806" s="493"/>
      <c r="G806" s="493"/>
      <c r="H806" s="493"/>
      <c r="I806" s="493"/>
      <c r="J806" s="493"/>
      <c r="K806" s="493"/>
      <c r="L806" s="493"/>
      <c r="M806" s="493"/>
    </row>
    <row r="807" spans="1:13" s="88" customFormat="1" ht="16.5" customHeight="1">
      <c r="A807" s="89"/>
      <c r="B807" s="92" t="s">
        <v>4926</v>
      </c>
      <c r="C807" s="493" t="s">
        <v>4975</v>
      </c>
      <c r="D807" s="493"/>
      <c r="E807" s="493"/>
      <c r="F807" s="493"/>
      <c r="G807" s="493"/>
      <c r="H807" s="493"/>
      <c r="I807" s="493"/>
      <c r="J807" s="493"/>
      <c r="K807" s="493"/>
      <c r="L807" s="493"/>
      <c r="M807" s="493"/>
    </row>
    <row r="808" spans="1:13" s="88" customFormat="1" ht="16.5" customHeight="1">
      <c r="A808" s="89"/>
      <c r="B808" s="90"/>
      <c r="C808" s="493"/>
      <c r="D808" s="493"/>
      <c r="E808" s="493"/>
      <c r="F808" s="493"/>
      <c r="G808" s="493"/>
      <c r="H808" s="493"/>
      <c r="I808" s="493"/>
      <c r="J808" s="493"/>
      <c r="K808" s="493"/>
      <c r="L808" s="493"/>
      <c r="M808" s="493"/>
    </row>
    <row r="809" spans="1:13" s="88" customFormat="1" ht="16.5" customHeight="1">
      <c r="A809" s="89" t="s">
        <v>1228</v>
      </c>
      <c r="B809" s="493"/>
      <c r="C809" s="493"/>
      <c r="D809" s="493"/>
      <c r="E809" s="493"/>
      <c r="F809" s="493"/>
      <c r="G809" s="493"/>
      <c r="H809" s="493"/>
      <c r="I809" s="493"/>
      <c r="J809" s="493"/>
      <c r="K809" s="493"/>
      <c r="L809" s="493"/>
      <c r="M809" s="493"/>
    </row>
    <row r="810" spans="1:13" ht="84.75" customHeight="1">
      <c r="A810" s="89" t="s">
        <v>1229</v>
      </c>
      <c r="B810" s="673" t="s">
        <v>4976</v>
      </c>
      <c r="C810" s="673"/>
      <c r="D810" s="673"/>
      <c r="E810" s="673"/>
      <c r="F810" s="673"/>
      <c r="G810" s="673"/>
      <c r="H810" s="673"/>
      <c r="I810" s="673"/>
      <c r="J810" s="673"/>
      <c r="K810" s="673"/>
      <c r="L810" s="673"/>
      <c r="M810" s="673"/>
    </row>
    <row r="811" spans="1:13" ht="21" customHeight="1">
      <c r="B811" s="494" t="s">
        <v>2863</v>
      </c>
      <c r="C811" s="494"/>
      <c r="D811" s="494"/>
      <c r="E811" s="494"/>
      <c r="F811" s="494"/>
      <c r="G811" s="494"/>
      <c r="H811" s="494"/>
      <c r="I811" s="494"/>
      <c r="J811" s="494"/>
      <c r="K811" s="494"/>
      <c r="L811" s="495"/>
    </row>
    <row r="812" spans="1:13" s="93" customFormat="1" ht="16.5" customHeight="1"/>
    <row r="813" spans="1:13" s="93" customFormat="1" ht="16.5" customHeight="1">
      <c r="A813" s="94" t="s">
        <v>1232</v>
      </c>
      <c r="B813" s="155" t="s">
        <v>1773</v>
      </c>
      <c r="C813" s="155"/>
      <c r="E813" s="155"/>
      <c r="F813" s="155"/>
      <c r="G813" s="155"/>
      <c r="H813" s="155"/>
      <c r="I813" s="155"/>
      <c r="J813" s="155"/>
    </row>
    <row r="814" spans="1:13" ht="16.5" customHeight="1">
      <c r="B814" s="93"/>
      <c r="C814" s="93"/>
      <c r="E814" s="93"/>
      <c r="F814" s="93"/>
      <c r="G814" s="93"/>
      <c r="H814" s="93"/>
      <c r="I814" s="93"/>
      <c r="J814" s="155"/>
    </row>
    <row r="815" spans="1:13" ht="16.5" customHeight="1">
      <c r="B815" s="93"/>
      <c r="C815" s="93"/>
      <c r="E815" s="93"/>
      <c r="F815" s="93"/>
      <c r="G815" s="93"/>
      <c r="H815" s="93"/>
      <c r="I815" s="93"/>
      <c r="J815" s="155"/>
    </row>
    <row r="816" spans="1:13" ht="16.5" customHeight="1">
      <c r="B816" s="94" t="s">
        <v>1431</v>
      </c>
      <c r="C816" s="104" t="s">
        <v>1238</v>
      </c>
      <c r="D816" s="94"/>
      <c r="E816" s="94" t="s">
        <v>4885</v>
      </c>
      <c r="F816" s="93"/>
      <c r="G816" s="93"/>
      <c r="H816" s="93"/>
      <c r="I816" s="93"/>
      <c r="J816" s="155"/>
    </row>
    <row r="817" spans="2:10" ht="16.5" customHeight="1">
      <c r="B817" s="93" t="str">
        <f>DEC2HEX(100,4)</f>
        <v>0064</v>
      </c>
      <c r="C817" s="108" t="s">
        <v>4977</v>
      </c>
      <c r="D817" s="93"/>
      <c r="E817" s="93" t="s">
        <v>4978</v>
      </c>
      <c r="F817" s="93"/>
      <c r="G817" s="93"/>
      <c r="H817" s="93"/>
      <c r="I817" s="93"/>
      <c r="J817" s="155"/>
    </row>
    <row r="818" spans="2:10" ht="16.5" customHeight="1">
      <c r="B818" s="93" t="str">
        <f>DEC2HEX(-54)</f>
        <v>FFFFFFFFCA</v>
      </c>
      <c r="C818" s="108" t="s">
        <v>4979</v>
      </c>
      <c r="D818" s="93"/>
      <c r="E818" s="93" t="s">
        <v>4980</v>
      </c>
      <c r="F818" s="93"/>
      <c r="G818" s="93"/>
      <c r="H818" s="93"/>
      <c r="I818" s="93"/>
      <c r="J818" s="155"/>
    </row>
    <row r="819" spans="2:10" ht="16.5" customHeight="1">
      <c r="B819" s="93"/>
      <c r="C819" s="93"/>
      <c r="D819" s="93"/>
      <c r="E819" s="93"/>
      <c r="F819" s="93"/>
      <c r="G819" s="93"/>
      <c r="H819" s="93"/>
      <c r="I819" s="93"/>
      <c r="J819" s="155"/>
    </row>
    <row r="820" spans="2:10">
      <c r="B820" s="93"/>
      <c r="C820" s="93"/>
      <c r="D820" s="93"/>
      <c r="E820" s="93"/>
      <c r="F820" s="93"/>
      <c r="G820" s="93"/>
      <c r="H820" s="93"/>
      <c r="I820" s="93"/>
      <c r="J820" s="155"/>
    </row>
    <row r="821" spans="2:10">
      <c r="B821" s="93"/>
      <c r="C821" s="93"/>
      <c r="D821" s="93"/>
      <c r="E821" s="93"/>
      <c r="F821" s="93"/>
      <c r="G821" s="93"/>
      <c r="H821" s="93"/>
      <c r="I821" s="93"/>
      <c r="J821" s="155"/>
    </row>
    <row r="822" spans="2:10">
      <c r="B822" s="93"/>
      <c r="C822" s="93"/>
      <c r="D822" s="93"/>
      <c r="E822" s="93"/>
      <c r="F822" s="93"/>
      <c r="G822" s="93"/>
      <c r="H822" s="93"/>
      <c r="I822" s="93"/>
      <c r="J822" s="155"/>
    </row>
    <row r="823" spans="2:10">
      <c r="B823" s="93"/>
      <c r="C823" s="93"/>
      <c r="D823" s="93"/>
      <c r="E823" s="93"/>
      <c r="F823" s="93"/>
      <c r="G823" s="93"/>
      <c r="H823" s="93"/>
      <c r="I823" s="93"/>
      <c r="J823" s="155"/>
    </row>
    <row r="824" spans="2:10">
      <c r="B824" s="93"/>
      <c r="C824" s="93"/>
      <c r="D824" s="93"/>
      <c r="E824" s="93"/>
      <c r="F824" s="93"/>
      <c r="G824" s="93"/>
      <c r="H824" s="93"/>
      <c r="I824" s="93"/>
      <c r="J824" s="155"/>
    </row>
    <row r="825" spans="2:10">
      <c r="B825" s="93"/>
      <c r="C825" s="93"/>
      <c r="D825" s="93"/>
      <c r="E825" s="93"/>
      <c r="F825" s="93"/>
      <c r="G825" s="93"/>
      <c r="H825" s="93"/>
      <c r="I825" s="93"/>
      <c r="J825" s="155"/>
    </row>
    <row r="826" spans="2:10">
      <c r="B826" s="93"/>
      <c r="C826" s="93"/>
      <c r="D826" s="93"/>
      <c r="E826" s="93"/>
      <c r="F826" s="93"/>
      <c r="G826" s="93"/>
      <c r="H826" s="93"/>
      <c r="I826" s="93"/>
      <c r="J826" s="155"/>
    </row>
    <row r="900" spans="1:13" s="88" customFormat="1" ht="26.25" customHeight="1">
      <c r="A900" s="498" t="s">
        <v>914</v>
      </c>
      <c r="B900" s="498"/>
      <c r="C900" s="499"/>
      <c r="D900" s="87"/>
      <c r="E900" s="500" t="str">
        <f>HYPERLINK("#目录!A428","跳转回到目录页")</f>
        <v>跳转回到目录页</v>
      </c>
      <c r="F900" s="501"/>
    </row>
    <row r="901" spans="1:13" s="88" customFormat="1" ht="26.25" customHeight="1">
      <c r="A901" s="502" t="s">
        <v>1216</v>
      </c>
      <c r="B901" s="502"/>
      <c r="C901" s="503" t="s">
        <v>630</v>
      </c>
      <c r="D901" s="503"/>
      <c r="E901" s="503"/>
      <c r="F901" s="503"/>
      <c r="G901" s="503"/>
      <c r="H901" s="503"/>
      <c r="I901" s="503"/>
      <c r="J901" s="503"/>
      <c r="K901" s="503"/>
      <c r="L901" s="503"/>
      <c r="M901" s="503"/>
    </row>
    <row r="902" spans="1:13" s="88" customFormat="1" ht="16.5" customHeight="1">
      <c r="A902" s="496" t="s">
        <v>1217</v>
      </c>
      <c r="B902" s="496"/>
      <c r="C902" s="493" t="s">
        <v>5000</v>
      </c>
      <c r="D902" s="493"/>
      <c r="E902" s="493"/>
      <c r="F902" s="493"/>
      <c r="G902" s="493"/>
      <c r="H902" s="493"/>
      <c r="I902" s="493"/>
      <c r="J902" s="493"/>
      <c r="K902" s="493"/>
      <c r="L902" s="493"/>
      <c r="M902" s="493"/>
    </row>
    <row r="903" spans="1:13" s="88" customFormat="1" ht="16.5" customHeight="1">
      <c r="A903" s="496" t="s">
        <v>5786</v>
      </c>
      <c r="B903" s="496"/>
      <c r="C903" s="497" t="s">
        <v>5000</v>
      </c>
      <c r="D903" s="497"/>
      <c r="E903" s="497"/>
      <c r="F903" s="497"/>
      <c r="G903" s="497"/>
      <c r="H903" s="497"/>
      <c r="I903" s="497"/>
      <c r="J903" s="497"/>
      <c r="K903" s="497"/>
      <c r="L903" s="497"/>
      <c r="M903" s="497"/>
    </row>
    <row r="904" spans="1:13" s="88" customFormat="1" ht="16.5" customHeight="1">
      <c r="A904" s="496" t="s">
        <v>1220</v>
      </c>
      <c r="B904" s="496"/>
      <c r="C904" s="493" t="s">
        <v>5001</v>
      </c>
      <c r="D904" s="493"/>
      <c r="E904" s="493"/>
      <c r="F904" s="493"/>
      <c r="G904" s="493"/>
      <c r="H904" s="493"/>
      <c r="I904" s="493"/>
      <c r="J904" s="493"/>
      <c r="K904" s="493"/>
      <c r="L904" s="493"/>
      <c r="M904" s="493"/>
    </row>
    <row r="905" spans="1:13" s="88" customFormat="1" ht="16.5" customHeight="1">
      <c r="A905" s="496" t="s">
        <v>5785</v>
      </c>
      <c r="B905" s="496"/>
      <c r="C905" s="493" t="s">
        <v>5002</v>
      </c>
      <c r="D905" s="493"/>
      <c r="E905" s="493"/>
      <c r="F905" s="493"/>
      <c r="G905" s="493"/>
      <c r="H905" s="493"/>
      <c r="I905" s="493"/>
      <c r="J905" s="493"/>
      <c r="K905" s="493"/>
      <c r="L905" s="493"/>
      <c r="M905" s="493"/>
    </row>
    <row r="906" spans="1:13" s="88" customFormat="1" ht="16.5" customHeight="1">
      <c r="A906" s="89" t="s">
        <v>1223</v>
      </c>
      <c r="B906" s="92" t="s">
        <v>2200</v>
      </c>
      <c r="C906" s="493" t="s">
        <v>5003</v>
      </c>
      <c r="D906" s="493"/>
      <c r="E906" s="493"/>
      <c r="F906" s="493"/>
      <c r="G906" s="493"/>
      <c r="H906" s="493"/>
      <c r="I906" s="493"/>
      <c r="J906" s="493"/>
      <c r="K906" s="493"/>
      <c r="L906" s="493"/>
      <c r="M906" s="493"/>
    </row>
    <row r="907" spans="1:13" s="88" customFormat="1" ht="16.5" customHeight="1">
      <c r="A907" s="89"/>
      <c r="B907" s="92" t="s">
        <v>4926</v>
      </c>
      <c r="C907" s="493" t="s">
        <v>5004</v>
      </c>
      <c r="D907" s="493"/>
      <c r="E907" s="493"/>
      <c r="F907" s="493"/>
      <c r="G907" s="493"/>
      <c r="H907" s="493"/>
      <c r="I907" s="493"/>
      <c r="J907" s="493"/>
      <c r="K907" s="493"/>
      <c r="L907" s="493"/>
      <c r="M907" s="493"/>
    </row>
    <row r="908" spans="1:13" s="88" customFormat="1" ht="16.5" customHeight="1">
      <c r="A908" s="89"/>
      <c r="B908" s="90"/>
      <c r="C908" s="493"/>
      <c r="D908" s="493"/>
      <c r="E908" s="493"/>
      <c r="F908" s="493"/>
      <c r="G908" s="493"/>
      <c r="H908" s="493"/>
      <c r="I908" s="493"/>
      <c r="J908" s="493"/>
      <c r="K908" s="493"/>
      <c r="L908" s="493"/>
      <c r="M908" s="493"/>
    </row>
    <row r="909" spans="1:13" s="88" customFormat="1" ht="16.5" customHeight="1">
      <c r="A909" s="89" t="s">
        <v>1228</v>
      </c>
      <c r="B909" s="493"/>
      <c r="C909" s="493"/>
      <c r="D909" s="493"/>
      <c r="E909" s="493"/>
      <c r="F909" s="493"/>
      <c r="G909" s="493"/>
      <c r="H909" s="493"/>
      <c r="I909" s="493"/>
      <c r="J909" s="493"/>
      <c r="K909" s="493"/>
      <c r="L909" s="493"/>
      <c r="M909" s="493"/>
    </row>
    <row r="910" spans="1:13" ht="97.5" customHeight="1">
      <c r="A910" s="89" t="s">
        <v>1229</v>
      </c>
      <c r="B910" s="673" t="s">
        <v>5005</v>
      </c>
      <c r="C910" s="673"/>
      <c r="D910" s="673"/>
      <c r="E910" s="673"/>
      <c r="F910" s="673"/>
      <c r="G910" s="673"/>
      <c r="H910" s="673"/>
      <c r="I910" s="673"/>
      <c r="J910" s="673"/>
      <c r="K910" s="673"/>
      <c r="L910" s="673"/>
      <c r="M910" s="673"/>
    </row>
    <row r="911" spans="1:13" ht="21" customHeight="1">
      <c r="B911" s="494" t="s">
        <v>2863</v>
      </c>
      <c r="C911" s="494"/>
      <c r="D911" s="494"/>
      <c r="E911" s="494"/>
      <c r="F911" s="494"/>
      <c r="G911" s="494"/>
      <c r="H911" s="494"/>
      <c r="I911" s="494"/>
      <c r="J911" s="494"/>
      <c r="K911" s="494"/>
      <c r="L911" s="495"/>
    </row>
    <row r="912" spans="1:13" s="93" customFormat="1" ht="16.5" customHeight="1"/>
    <row r="913" spans="1:5" s="93" customFormat="1" ht="16.5" customHeight="1">
      <c r="A913" s="94" t="s">
        <v>1232</v>
      </c>
      <c r="B913" s="93" t="s">
        <v>1773</v>
      </c>
    </row>
    <row r="914" spans="1:5" ht="16.5" customHeight="1"/>
    <row r="915" spans="1:5" ht="16.5" customHeight="1"/>
    <row r="916" spans="1:5" ht="16.5" customHeight="1">
      <c r="B916" s="94" t="s">
        <v>1431</v>
      </c>
      <c r="C916" s="104" t="s">
        <v>1238</v>
      </c>
      <c r="D916" s="93"/>
      <c r="E916" s="94" t="s">
        <v>4885</v>
      </c>
    </row>
    <row r="917" spans="1:5" ht="16.5" customHeight="1">
      <c r="B917" s="93" t="str">
        <f>HEX2BIN("F",8)</f>
        <v>00001111</v>
      </c>
      <c r="C917" s="108" t="s">
        <v>5006</v>
      </c>
      <c r="D917" s="93"/>
      <c r="E917" s="93" t="s">
        <v>5007</v>
      </c>
    </row>
    <row r="918" spans="1:5" ht="16.5" customHeight="1">
      <c r="B918" s="93" t="str">
        <f>HEX2BIN("B7")</f>
        <v>10110111</v>
      </c>
      <c r="C918" s="108" t="s">
        <v>5008</v>
      </c>
      <c r="D918" s="93"/>
      <c r="E918" s="93" t="s">
        <v>5009</v>
      </c>
    </row>
    <row r="919" spans="1:5" ht="16.5" customHeight="1">
      <c r="B919" s="93" t="str">
        <f>HEX2BIN("FFFFFFFFFF")</f>
        <v>1111111111</v>
      </c>
      <c r="C919" s="108" t="s">
        <v>5010</v>
      </c>
      <c r="D919" s="93"/>
      <c r="E919" s="93" t="s">
        <v>5011</v>
      </c>
    </row>
    <row r="920" spans="1:5" ht="16.5" customHeight="1"/>
    <row r="1000" spans="1:13" s="88" customFormat="1" ht="26.25" customHeight="1">
      <c r="A1000" s="498" t="s">
        <v>918</v>
      </c>
      <c r="B1000" s="498"/>
      <c r="C1000" s="499"/>
      <c r="D1000" s="87"/>
      <c r="E1000" s="500" t="str">
        <f>HYPERLINK("#目录!A429","跳转回到目录页")</f>
        <v>跳转回到目录页</v>
      </c>
      <c r="F1000" s="501"/>
    </row>
    <row r="1001" spans="1:13" s="88" customFormat="1" ht="26.25" customHeight="1">
      <c r="A1001" s="502" t="s">
        <v>1216</v>
      </c>
      <c r="B1001" s="502"/>
      <c r="C1001" s="503" t="s">
        <v>631</v>
      </c>
      <c r="D1001" s="503"/>
      <c r="E1001" s="503"/>
      <c r="F1001" s="503"/>
      <c r="G1001" s="503"/>
      <c r="H1001" s="503"/>
      <c r="I1001" s="503"/>
      <c r="J1001" s="503"/>
      <c r="K1001" s="503"/>
      <c r="L1001" s="503"/>
      <c r="M1001" s="503"/>
    </row>
    <row r="1002" spans="1:13" s="88" customFormat="1" ht="16.5" customHeight="1">
      <c r="A1002" s="496" t="s">
        <v>1217</v>
      </c>
      <c r="B1002" s="496"/>
      <c r="C1002" s="493" t="s">
        <v>5012</v>
      </c>
      <c r="D1002" s="493"/>
      <c r="E1002" s="493"/>
      <c r="F1002" s="493"/>
      <c r="G1002" s="493"/>
      <c r="H1002" s="493"/>
      <c r="I1002" s="493"/>
      <c r="J1002" s="493"/>
      <c r="K1002" s="493"/>
      <c r="L1002" s="493"/>
      <c r="M1002" s="493"/>
    </row>
    <row r="1003" spans="1:13" s="88" customFormat="1" ht="16.5" customHeight="1">
      <c r="A1003" s="496" t="s">
        <v>5786</v>
      </c>
      <c r="B1003" s="496"/>
      <c r="C1003" s="497" t="s">
        <v>5012</v>
      </c>
      <c r="D1003" s="497"/>
      <c r="E1003" s="497"/>
      <c r="F1003" s="497"/>
      <c r="G1003" s="497"/>
      <c r="H1003" s="497"/>
      <c r="I1003" s="497"/>
      <c r="J1003" s="497"/>
      <c r="K1003" s="497"/>
      <c r="L1003" s="497"/>
      <c r="M1003" s="497"/>
    </row>
    <row r="1004" spans="1:13" s="88" customFormat="1" ht="16.5" customHeight="1">
      <c r="A1004" s="496" t="s">
        <v>1220</v>
      </c>
      <c r="B1004" s="496"/>
      <c r="C1004" s="493" t="s">
        <v>5013</v>
      </c>
      <c r="D1004" s="493"/>
      <c r="E1004" s="493"/>
      <c r="F1004" s="493"/>
      <c r="G1004" s="493"/>
      <c r="H1004" s="493"/>
      <c r="I1004" s="493"/>
      <c r="J1004" s="493"/>
      <c r="K1004" s="493"/>
      <c r="L1004" s="493"/>
      <c r="M1004" s="493"/>
    </row>
    <row r="1005" spans="1:13" s="88" customFormat="1" ht="16.5" customHeight="1">
      <c r="A1005" s="496" t="s">
        <v>5785</v>
      </c>
      <c r="B1005" s="496"/>
      <c r="C1005" s="493" t="s">
        <v>5014</v>
      </c>
      <c r="D1005" s="493"/>
      <c r="E1005" s="493"/>
      <c r="F1005" s="493"/>
      <c r="G1005" s="493"/>
      <c r="H1005" s="493"/>
      <c r="I1005" s="493"/>
      <c r="J1005" s="493"/>
      <c r="K1005" s="493"/>
      <c r="L1005" s="493"/>
      <c r="M1005" s="493"/>
    </row>
    <row r="1006" spans="1:13" s="88" customFormat="1" ht="24.75" customHeight="1">
      <c r="A1006" s="89" t="s">
        <v>1223</v>
      </c>
      <c r="B1006" s="92" t="s">
        <v>2200</v>
      </c>
      <c r="C1006" s="493" t="s">
        <v>5015</v>
      </c>
      <c r="D1006" s="493"/>
      <c r="E1006" s="493"/>
      <c r="F1006" s="493"/>
      <c r="G1006" s="493"/>
      <c r="H1006" s="493"/>
      <c r="I1006" s="493"/>
      <c r="J1006" s="493"/>
      <c r="K1006" s="493"/>
      <c r="L1006" s="493"/>
      <c r="M1006" s="493"/>
    </row>
    <row r="1007" spans="1:13" s="88" customFormat="1" ht="16.5" customHeight="1">
      <c r="A1007" s="89"/>
      <c r="B1007" s="92" t="s">
        <v>4926</v>
      </c>
      <c r="C1007" s="493" t="s">
        <v>5016</v>
      </c>
      <c r="D1007" s="493"/>
      <c r="E1007" s="493"/>
      <c r="F1007" s="493"/>
      <c r="G1007" s="493"/>
      <c r="H1007" s="493"/>
      <c r="I1007" s="493"/>
      <c r="J1007" s="493"/>
      <c r="K1007" s="493"/>
      <c r="L1007" s="493"/>
      <c r="M1007" s="493"/>
    </row>
    <row r="1008" spans="1:13" s="88" customFormat="1" ht="16.5" customHeight="1">
      <c r="A1008" s="89"/>
      <c r="B1008" s="90"/>
      <c r="C1008" s="493"/>
      <c r="D1008" s="493"/>
      <c r="E1008" s="493"/>
      <c r="F1008" s="493"/>
      <c r="G1008" s="493"/>
      <c r="H1008" s="493"/>
      <c r="I1008" s="493"/>
      <c r="J1008" s="493"/>
      <c r="K1008" s="493"/>
      <c r="L1008" s="493"/>
      <c r="M1008" s="493"/>
    </row>
    <row r="1009" spans="1:13" s="88" customFormat="1" ht="16.5" customHeight="1">
      <c r="A1009" s="89" t="s">
        <v>1228</v>
      </c>
      <c r="B1009" s="493"/>
      <c r="C1009" s="493"/>
      <c r="D1009" s="493"/>
      <c r="E1009" s="493"/>
      <c r="F1009" s="493"/>
      <c r="G1009" s="493"/>
      <c r="H1009" s="493"/>
      <c r="I1009" s="493"/>
      <c r="J1009" s="493"/>
      <c r="K1009" s="493"/>
      <c r="L1009" s="493"/>
      <c r="M1009" s="493"/>
    </row>
    <row r="1010" spans="1:13" ht="98.25" customHeight="1">
      <c r="A1010" s="89" t="s">
        <v>1229</v>
      </c>
      <c r="B1010" s="673" t="s">
        <v>5017</v>
      </c>
      <c r="C1010" s="673"/>
      <c r="D1010" s="673"/>
      <c r="E1010" s="673"/>
      <c r="F1010" s="673"/>
      <c r="G1010" s="673"/>
      <c r="H1010" s="673"/>
      <c r="I1010" s="673"/>
      <c r="J1010" s="673"/>
      <c r="K1010" s="673"/>
      <c r="L1010" s="673"/>
      <c r="M1010" s="673"/>
    </row>
    <row r="1011" spans="1:13" ht="21" customHeight="1">
      <c r="B1011" s="494" t="s">
        <v>2863</v>
      </c>
      <c r="C1011" s="494"/>
      <c r="D1011" s="494"/>
      <c r="E1011" s="494"/>
      <c r="F1011" s="494"/>
      <c r="G1011" s="494"/>
      <c r="H1011" s="494"/>
      <c r="I1011" s="494"/>
      <c r="J1011" s="494"/>
      <c r="K1011" s="494"/>
      <c r="L1011" s="495"/>
    </row>
    <row r="1012" spans="1:13" s="93" customFormat="1" ht="16.5" customHeight="1"/>
    <row r="1013" spans="1:13" s="93" customFormat="1" ht="16.5" customHeight="1">
      <c r="A1013" s="94" t="s">
        <v>1232</v>
      </c>
      <c r="B1013" s="93" t="s">
        <v>1773</v>
      </c>
    </row>
    <row r="1014" spans="1:13" ht="16.5" customHeight="1"/>
    <row r="1015" spans="1:13" ht="16.5" customHeight="1">
      <c r="B1015" s="93"/>
      <c r="C1015" s="93"/>
      <c r="E1015" s="93"/>
      <c r="F1015" s="93"/>
      <c r="G1015" s="93"/>
      <c r="H1015" s="93"/>
      <c r="I1015" s="93"/>
      <c r="J1015" s="93"/>
    </row>
    <row r="1016" spans="1:13" ht="16.5" customHeight="1">
      <c r="B1016" s="94" t="s">
        <v>1431</v>
      </c>
      <c r="C1016" s="104" t="s">
        <v>1238</v>
      </c>
      <c r="D1016" s="93"/>
      <c r="F1016" s="94" t="s">
        <v>4885</v>
      </c>
      <c r="G1016" s="93"/>
      <c r="H1016" s="93"/>
      <c r="I1016" s="93"/>
      <c r="J1016" s="93"/>
    </row>
    <row r="1017" spans="1:13" ht="16.5" customHeight="1">
      <c r="B1017" s="93" t="str">
        <f>HEX2OCT("F",3)</f>
        <v>017</v>
      </c>
      <c r="C1017" s="108" t="s">
        <v>5018</v>
      </c>
      <c r="D1017" s="93"/>
      <c r="F1017" s="93" t="s">
        <v>5019</v>
      </c>
      <c r="G1017" s="93"/>
      <c r="H1017" s="93"/>
      <c r="I1017" s="93"/>
      <c r="J1017" s="93"/>
    </row>
    <row r="1018" spans="1:13" ht="16.5" customHeight="1">
      <c r="B1018" s="93" t="str">
        <f>HEX2OCT("3B4E")</f>
        <v>35516</v>
      </c>
      <c r="C1018" s="108" t="s">
        <v>5020</v>
      </c>
      <c r="D1018" s="93"/>
      <c r="F1018" s="93" t="s">
        <v>5021</v>
      </c>
      <c r="G1018" s="93"/>
      <c r="H1018" s="93"/>
      <c r="I1018" s="93"/>
      <c r="J1018" s="93"/>
    </row>
    <row r="1019" spans="1:13" ht="16.5" customHeight="1">
      <c r="B1019" s="93" t="str">
        <f>HEX2OCT("FFFFFFFF00")</f>
        <v>7777777400</v>
      </c>
      <c r="C1019" s="108" t="s">
        <v>5022</v>
      </c>
      <c r="D1019" s="93"/>
      <c r="F1019" s="93" t="s">
        <v>5023</v>
      </c>
      <c r="G1019" s="93"/>
      <c r="H1019" s="93"/>
      <c r="I1019" s="93"/>
      <c r="J1019" s="93"/>
    </row>
    <row r="1020" spans="1:13" ht="16.5" customHeight="1">
      <c r="B1020" s="93"/>
      <c r="C1020" s="93"/>
      <c r="D1020" s="93"/>
      <c r="E1020" s="93"/>
      <c r="F1020" s="93"/>
      <c r="G1020" s="93"/>
      <c r="H1020" s="93"/>
      <c r="I1020" s="93"/>
      <c r="J1020" s="93"/>
    </row>
    <row r="1021" spans="1:13">
      <c r="B1021" s="93"/>
      <c r="C1021" s="93"/>
      <c r="D1021" s="93"/>
      <c r="E1021" s="93"/>
      <c r="F1021" s="93"/>
      <c r="G1021" s="93"/>
      <c r="H1021" s="93"/>
      <c r="I1021" s="93"/>
      <c r="J1021" s="93"/>
    </row>
    <row r="1022" spans="1:13">
      <c r="B1022" s="93"/>
      <c r="C1022" s="93"/>
      <c r="D1022" s="93"/>
      <c r="E1022" s="93"/>
      <c r="F1022" s="93"/>
      <c r="G1022" s="93"/>
      <c r="H1022" s="93"/>
      <c r="I1022" s="93"/>
      <c r="J1022" s="93"/>
    </row>
    <row r="1023" spans="1:13">
      <c r="B1023" s="93"/>
      <c r="C1023" s="93"/>
      <c r="D1023" s="93"/>
      <c r="E1023" s="93"/>
      <c r="F1023" s="93"/>
      <c r="G1023" s="93"/>
      <c r="H1023" s="93"/>
      <c r="I1023" s="93"/>
      <c r="J1023" s="93"/>
    </row>
    <row r="1100" spans="1:13" s="88" customFormat="1" ht="26.25" customHeight="1">
      <c r="A1100" s="498" t="s">
        <v>916</v>
      </c>
      <c r="B1100" s="498"/>
      <c r="C1100" s="499"/>
      <c r="D1100" s="87"/>
      <c r="E1100" s="500" t="str">
        <f>HYPERLINK("#目录!A430","跳转回到目录页")</f>
        <v>跳转回到目录页</v>
      </c>
      <c r="F1100" s="501"/>
    </row>
    <row r="1101" spans="1:13" s="88" customFormat="1" ht="26.25" customHeight="1">
      <c r="A1101" s="502" t="s">
        <v>1216</v>
      </c>
      <c r="B1101" s="502"/>
      <c r="C1101" s="503" t="s">
        <v>632</v>
      </c>
      <c r="D1101" s="503"/>
      <c r="E1101" s="503"/>
      <c r="F1101" s="503"/>
      <c r="G1101" s="503"/>
      <c r="H1101" s="503"/>
      <c r="I1101" s="503"/>
      <c r="J1101" s="503"/>
      <c r="K1101" s="503"/>
      <c r="L1101" s="503"/>
      <c r="M1101" s="503"/>
    </row>
    <row r="1102" spans="1:13" s="88" customFormat="1" ht="16.5" customHeight="1">
      <c r="A1102" s="496" t="s">
        <v>1217</v>
      </c>
      <c r="B1102" s="496"/>
      <c r="C1102" s="493" t="s">
        <v>5024</v>
      </c>
      <c r="D1102" s="493"/>
      <c r="E1102" s="493"/>
      <c r="F1102" s="493"/>
      <c r="G1102" s="493"/>
      <c r="H1102" s="493"/>
      <c r="I1102" s="493"/>
      <c r="J1102" s="493"/>
      <c r="K1102" s="493"/>
      <c r="L1102" s="493"/>
      <c r="M1102" s="493"/>
    </row>
    <row r="1103" spans="1:13" s="88" customFormat="1" ht="16.5" customHeight="1">
      <c r="A1103" s="496" t="s">
        <v>5786</v>
      </c>
      <c r="B1103" s="496"/>
      <c r="C1103" s="497" t="s">
        <v>5024</v>
      </c>
      <c r="D1103" s="497"/>
      <c r="E1103" s="497"/>
      <c r="F1103" s="497"/>
      <c r="G1103" s="497"/>
      <c r="H1103" s="497"/>
      <c r="I1103" s="497"/>
      <c r="J1103" s="497"/>
      <c r="K1103" s="497"/>
      <c r="L1103" s="497"/>
      <c r="M1103" s="497"/>
    </row>
    <row r="1104" spans="1:13" s="88" customFormat="1" ht="16.5" customHeight="1">
      <c r="A1104" s="496" t="s">
        <v>1220</v>
      </c>
      <c r="B1104" s="496"/>
      <c r="C1104" s="493" t="s">
        <v>5025</v>
      </c>
      <c r="D1104" s="493"/>
      <c r="E1104" s="493"/>
      <c r="F1104" s="493"/>
      <c r="G1104" s="493"/>
      <c r="H1104" s="493"/>
      <c r="I1104" s="493"/>
      <c r="J1104" s="493"/>
      <c r="K1104" s="493"/>
      <c r="L1104" s="493"/>
      <c r="M1104" s="493"/>
    </row>
    <row r="1105" spans="1:13" s="88" customFormat="1" ht="16.5" customHeight="1">
      <c r="A1105" s="496" t="s">
        <v>5785</v>
      </c>
      <c r="B1105" s="496"/>
      <c r="C1105" s="493" t="s">
        <v>5026</v>
      </c>
      <c r="D1105" s="493"/>
      <c r="E1105" s="493"/>
      <c r="F1105" s="493"/>
      <c r="G1105" s="493"/>
      <c r="H1105" s="493"/>
      <c r="I1105" s="493"/>
      <c r="J1105" s="493"/>
      <c r="K1105" s="493"/>
      <c r="L1105" s="493"/>
      <c r="M1105" s="493"/>
    </row>
    <row r="1106" spans="1:13" s="88" customFormat="1" ht="16.5" customHeight="1">
      <c r="A1106" s="89" t="s">
        <v>1223</v>
      </c>
      <c r="B1106" s="92" t="s">
        <v>2200</v>
      </c>
      <c r="C1106" s="493" t="s">
        <v>5027</v>
      </c>
      <c r="D1106" s="493"/>
      <c r="E1106" s="493"/>
      <c r="F1106" s="493"/>
      <c r="G1106" s="493"/>
      <c r="H1106" s="493"/>
      <c r="I1106" s="493"/>
      <c r="J1106" s="493"/>
      <c r="K1106" s="493"/>
      <c r="L1106" s="493"/>
      <c r="M1106" s="493"/>
    </row>
    <row r="1107" spans="1:13" s="88" customFormat="1" ht="16.5" customHeight="1">
      <c r="A1107" s="89"/>
      <c r="B1107" s="92"/>
      <c r="C1107" s="493"/>
      <c r="D1107" s="493"/>
      <c r="E1107" s="493"/>
      <c r="F1107" s="493"/>
      <c r="G1107" s="493"/>
      <c r="H1107" s="493"/>
      <c r="I1107" s="493"/>
      <c r="J1107" s="493"/>
      <c r="K1107" s="493"/>
      <c r="L1107" s="493"/>
      <c r="M1107" s="493"/>
    </row>
    <row r="1108" spans="1:13" s="88" customFormat="1" ht="16.5" customHeight="1">
      <c r="A1108" s="89"/>
      <c r="B1108" s="90"/>
      <c r="C1108" s="493"/>
      <c r="D1108" s="493"/>
      <c r="E1108" s="493"/>
      <c r="F1108" s="493"/>
      <c r="G1108" s="493"/>
      <c r="H1108" s="493"/>
      <c r="I1108" s="493"/>
      <c r="J1108" s="493"/>
      <c r="K1108" s="493"/>
      <c r="L1108" s="493"/>
      <c r="M1108" s="493"/>
    </row>
    <row r="1109" spans="1:13" s="88" customFormat="1" ht="16.5" customHeight="1">
      <c r="A1109" s="89" t="s">
        <v>1228</v>
      </c>
      <c r="B1109" s="493"/>
      <c r="C1109" s="493"/>
      <c r="D1109" s="493"/>
      <c r="E1109" s="493"/>
      <c r="F1109" s="493"/>
      <c r="G1109" s="493"/>
      <c r="H1109" s="493"/>
      <c r="I1109" s="493"/>
      <c r="J1109" s="493"/>
      <c r="K1109" s="493"/>
      <c r="L1109" s="493"/>
      <c r="M1109" s="493"/>
    </row>
    <row r="1110" spans="1:13" ht="25.5" customHeight="1">
      <c r="A1110" s="89" t="s">
        <v>1229</v>
      </c>
      <c r="B1110" s="673" t="s">
        <v>5028</v>
      </c>
      <c r="C1110" s="673"/>
      <c r="D1110" s="673"/>
      <c r="E1110" s="673"/>
      <c r="F1110" s="673"/>
      <c r="G1110" s="673"/>
      <c r="H1110" s="673"/>
      <c r="I1110" s="673"/>
      <c r="J1110" s="673"/>
      <c r="K1110" s="673"/>
      <c r="L1110" s="673"/>
      <c r="M1110" s="673"/>
    </row>
    <row r="1111" spans="1:13" ht="21" customHeight="1">
      <c r="B1111" s="494" t="s">
        <v>2863</v>
      </c>
      <c r="C1111" s="494"/>
      <c r="D1111" s="494"/>
      <c r="E1111" s="494"/>
      <c r="F1111" s="494"/>
      <c r="G1111" s="494"/>
      <c r="H1111" s="494"/>
      <c r="I1111" s="494"/>
      <c r="J1111" s="494"/>
      <c r="K1111" s="494"/>
      <c r="L1111" s="495"/>
    </row>
    <row r="1112" spans="1:13" s="93" customFormat="1" ht="16.5" customHeight="1"/>
    <row r="1113" spans="1:13" s="93" customFormat="1" ht="16.5" customHeight="1">
      <c r="A1113" s="94" t="s">
        <v>1232</v>
      </c>
      <c r="B1113" s="93" t="s">
        <v>1773</v>
      </c>
    </row>
    <row r="1114" spans="1:13" ht="16.5" customHeight="1"/>
    <row r="1115" spans="1:13" ht="16.5" customHeight="1"/>
    <row r="1116" spans="1:13" ht="16.5" customHeight="1">
      <c r="B1116" s="94" t="s">
        <v>1431</v>
      </c>
      <c r="C1116" s="104" t="s">
        <v>1238</v>
      </c>
      <c r="D1116" s="94"/>
      <c r="E1116" s="94" t="s">
        <v>4885</v>
      </c>
      <c r="F1116" s="93"/>
      <c r="G1116" s="93"/>
      <c r="H1116" s="93"/>
      <c r="I1116" s="93"/>
      <c r="J1116" s="93"/>
    </row>
    <row r="1117" spans="1:13" ht="16.5" customHeight="1">
      <c r="B1117" s="93">
        <f>HEX2DEC("A5")</f>
        <v>165</v>
      </c>
      <c r="C1117" s="108" t="s">
        <v>5029</v>
      </c>
      <c r="D1117" s="93"/>
      <c r="E1117" s="93" t="s">
        <v>5030</v>
      </c>
      <c r="F1117" s="93"/>
      <c r="G1117" s="93"/>
      <c r="H1117" s="93"/>
      <c r="I1117" s="93"/>
      <c r="J1117" s="93"/>
    </row>
    <row r="1118" spans="1:13" ht="16.5" customHeight="1">
      <c r="B1118" s="93">
        <f>HEX2DEC("FFFFFFFF5B")</f>
        <v>-165</v>
      </c>
      <c r="C1118" s="108" t="s">
        <v>5031</v>
      </c>
      <c r="D1118" s="93"/>
      <c r="E1118" s="93" t="s">
        <v>5032</v>
      </c>
      <c r="F1118" s="93"/>
      <c r="G1118" s="93"/>
      <c r="H1118" s="93"/>
      <c r="I1118" s="93"/>
      <c r="J1118" s="93"/>
    </row>
    <row r="1119" spans="1:13" ht="16.5" customHeight="1">
      <c r="B1119" s="93">
        <f>HEX2DEC("3DA408B9")</f>
        <v>1034160313</v>
      </c>
      <c r="C1119" s="108" t="s">
        <v>5033</v>
      </c>
      <c r="D1119" s="93"/>
      <c r="E1119" s="93" t="s">
        <v>5034</v>
      </c>
      <c r="F1119" s="93"/>
      <c r="G1119" s="93"/>
      <c r="H1119" s="93"/>
      <c r="I1119" s="93"/>
      <c r="J1119" s="93"/>
    </row>
    <row r="1120" spans="1:13">
      <c r="B1120" s="93"/>
      <c r="C1120" s="93"/>
      <c r="D1120" s="93"/>
      <c r="E1120" s="93"/>
      <c r="F1120" s="93"/>
      <c r="G1120" s="93"/>
      <c r="H1120" s="93"/>
      <c r="I1120" s="93"/>
      <c r="J1120" s="93"/>
    </row>
    <row r="1121" spans="2:10">
      <c r="B1121" s="93"/>
      <c r="C1121" s="93"/>
      <c r="D1121" s="93"/>
      <c r="E1121" s="93"/>
      <c r="F1121" s="93"/>
      <c r="G1121" s="93"/>
      <c r="H1121" s="93"/>
      <c r="I1121" s="93"/>
      <c r="J1121" s="93"/>
    </row>
    <row r="1122" spans="2:10">
      <c r="B1122" s="93"/>
      <c r="C1122" s="93"/>
      <c r="D1122" s="93"/>
      <c r="E1122" s="93"/>
      <c r="F1122" s="93"/>
      <c r="G1122" s="93"/>
      <c r="H1122" s="93"/>
      <c r="I1122" s="93"/>
      <c r="J1122" s="93"/>
    </row>
  </sheetData>
  <mergeCells count="216">
    <mergeCell ref="A4:B4"/>
    <mergeCell ref="C4:M4"/>
    <mergeCell ref="A5:B5"/>
    <mergeCell ref="C5:M5"/>
    <mergeCell ref="A6:B6"/>
    <mergeCell ref="C6:M6"/>
    <mergeCell ref="A1:C1"/>
    <mergeCell ref="E1:F1"/>
    <mergeCell ref="A2:B2"/>
    <mergeCell ref="C2:M2"/>
    <mergeCell ref="A3:B3"/>
    <mergeCell ref="C3:M3"/>
    <mergeCell ref="A100:C100"/>
    <mergeCell ref="E100:F100"/>
    <mergeCell ref="A101:B101"/>
    <mergeCell ref="C101:M101"/>
    <mergeCell ref="A102:B102"/>
    <mergeCell ref="C102:M102"/>
    <mergeCell ref="C7:M7"/>
    <mergeCell ref="C8:M8"/>
    <mergeCell ref="C9:M9"/>
    <mergeCell ref="B10:M10"/>
    <mergeCell ref="B11:M11"/>
    <mergeCell ref="B12:L12"/>
    <mergeCell ref="C106:M106"/>
    <mergeCell ref="C107:M107"/>
    <mergeCell ref="C108:M108"/>
    <mergeCell ref="B109:M109"/>
    <mergeCell ref="B110:M110"/>
    <mergeCell ref="B111:L111"/>
    <mergeCell ref="A103:B103"/>
    <mergeCell ref="C103:M103"/>
    <mergeCell ref="A104:B104"/>
    <mergeCell ref="C104:M104"/>
    <mergeCell ref="A105:B105"/>
    <mergeCell ref="C105:M105"/>
    <mergeCell ref="A203:B203"/>
    <mergeCell ref="C203:M203"/>
    <mergeCell ref="A204:B204"/>
    <mergeCell ref="C204:M204"/>
    <mergeCell ref="A205:B205"/>
    <mergeCell ref="C205:M205"/>
    <mergeCell ref="A200:C200"/>
    <mergeCell ref="E200:F200"/>
    <mergeCell ref="A201:B201"/>
    <mergeCell ref="C201:M201"/>
    <mergeCell ref="A202:B202"/>
    <mergeCell ref="C202:M202"/>
    <mergeCell ref="A300:C300"/>
    <mergeCell ref="E300:F300"/>
    <mergeCell ref="A301:B301"/>
    <mergeCell ref="C301:M301"/>
    <mergeCell ref="A302:B302"/>
    <mergeCell ref="C302:M302"/>
    <mergeCell ref="C206:M206"/>
    <mergeCell ref="C207:M207"/>
    <mergeCell ref="C208:M208"/>
    <mergeCell ref="B209:M209"/>
    <mergeCell ref="B210:M210"/>
    <mergeCell ref="B211:L211"/>
    <mergeCell ref="C306:M306"/>
    <mergeCell ref="C307:M307"/>
    <mergeCell ref="C308:M308"/>
    <mergeCell ref="B309:M309"/>
    <mergeCell ref="B310:M310"/>
    <mergeCell ref="B311:L311"/>
    <mergeCell ref="A303:B303"/>
    <mergeCell ref="C303:M303"/>
    <mergeCell ref="A304:B304"/>
    <mergeCell ref="C304:M304"/>
    <mergeCell ref="A305:B305"/>
    <mergeCell ref="C305:M305"/>
    <mergeCell ref="A403:B403"/>
    <mergeCell ref="C403:M403"/>
    <mergeCell ref="A404:B404"/>
    <mergeCell ref="C404:M404"/>
    <mergeCell ref="A405:B405"/>
    <mergeCell ref="C405:M405"/>
    <mergeCell ref="A400:C400"/>
    <mergeCell ref="E400:F400"/>
    <mergeCell ref="A401:B401"/>
    <mergeCell ref="C401:M401"/>
    <mergeCell ref="A402:B402"/>
    <mergeCell ref="C402:M402"/>
    <mergeCell ref="A500:C500"/>
    <mergeCell ref="E500:F500"/>
    <mergeCell ref="A501:B501"/>
    <mergeCell ref="C501:M501"/>
    <mergeCell ref="A502:B502"/>
    <mergeCell ref="C502:M502"/>
    <mergeCell ref="C406:M406"/>
    <mergeCell ref="C407:M407"/>
    <mergeCell ref="C408:M408"/>
    <mergeCell ref="B409:M409"/>
    <mergeCell ref="B410:M410"/>
    <mergeCell ref="B411:L411"/>
    <mergeCell ref="C506:M506"/>
    <mergeCell ref="C507:M507"/>
    <mergeCell ref="C508:M508"/>
    <mergeCell ref="B509:M509"/>
    <mergeCell ref="B510:M510"/>
    <mergeCell ref="B511:L511"/>
    <mergeCell ref="A503:B503"/>
    <mergeCell ref="C503:M503"/>
    <mergeCell ref="A504:B504"/>
    <mergeCell ref="C504:M504"/>
    <mergeCell ref="A505:B505"/>
    <mergeCell ref="C505:M505"/>
    <mergeCell ref="A603:B603"/>
    <mergeCell ref="C603:M603"/>
    <mergeCell ref="A604:B604"/>
    <mergeCell ref="C604:M604"/>
    <mergeCell ref="A605:B605"/>
    <mergeCell ref="C605:M605"/>
    <mergeCell ref="A600:C600"/>
    <mergeCell ref="E600:F600"/>
    <mergeCell ref="A601:B601"/>
    <mergeCell ref="C601:M601"/>
    <mergeCell ref="A602:B602"/>
    <mergeCell ref="C602:M602"/>
    <mergeCell ref="A700:C700"/>
    <mergeCell ref="E700:F700"/>
    <mergeCell ref="A701:B701"/>
    <mergeCell ref="C701:M701"/>
    <mergeCell ref="A702:B702"/>
    <mergeCell ref="C702:M702"/>
    <mergeCell ref="C606:M606"/>
    <mergeCell ref="C607:M607"/>
    <mergeCell ref="C608:M608"/>
    <mergeCell ref="B609:M609"/>
    <mergeCell ref="B610:M610"/>
    <mergeCell ref="B611:L611"/>
    <mergeCell ref="C706:M706"/>
    <mergeCell ref="C707:M707"/>
    <mergeCell ref="C708:M708"/>
    <mergeCell ref="B709:M709"/>
    <mergeCell ref="B710:M710"/>
    <mergeCell ref="B711:L711"/>
    <mergeCell ref="A703:B703"/>
    <mergeCell ref="C703:M703"/>
    <mergeCell ref="A704:B704"/>
    <mergeCell ref="C704:M704"/>
    <mergeCell ref="A705:B705"/>
    <mergeCell ref="C705:M705"/>
    <mergeCell ref="A803:B803"/>
    <mergeCell ref="C803:M803"/>
    <mergeCell ref="A804:B804"/>
    <mergeCell ref="C804:M804"/>
    <mergeCell ref="A805:B805"/>
    <mergeCell ref="C805:M805"/>
    <mergeCell ref="A800:C800"/>
    <mergeCell ref="E800:F800"/>
    <mergeCell ref="A801:B801"/>
    <mergeCell ref="C801:M801"/>
    <mergeCell ref="A802:B802"/>
    <mergeCell ref="C802:M802"/>
    <mergeCell ref="A900:C900"/>
    <mergeCell ref="E900:F900"/>
    <mergeCell ref="A901:B901"/>
    <mergeCell ref="C901:M901"/>
    <mergeCell ref="A902:B902"/>
    <mergeCell ref="C902:M902"/>
    <mergeCell ref="C806:M806"/>
    <mergeCell ref="C807:M807"/>
    <mergeCell ref="C808:M808"/>
    <mergeCell ref="B809:M809"/>
    <mergeCell ref="B810:M810"/>
    <mergeCell ref="B811:L811"/>
    <mergeCell ref="C906:M906"/>
    <mergeCell ref="C907:M907"/>
    <mergeCell ref="C908:M908"/>
    <mergeCell ref="B909:M909"/>
    <mergeCell ref="B910:M910"/>
    <mergeCell ref="B911:L911"/>
    <mergeCell ref="A903:B903"/>
    <mergeCell ref="C903:M903"/>
    <mergeCell ref="A904:B904"/>
    <mergeCell ref="C904:M904"/>
    <mergeCell ref="A905:B905"/>
    <mergeCell ref="C905:M905"/>
    <mergeCell ref="A1003:B1003"/>
    <mergeCell ref="C1003:M1003"/>
    <mergeCell ref="A1004:B1004"/>
    <mergeCell ref="C1004:M1004"/>
    <mergeCell ref="A1005:B1005"/>
    <mergeCell ref="C1005:M1005"/>
    <mergeCell ref="A1000:C1000"/>
    <mergeCell ref="E1000:F1000"/>
    <mergeCell ref="A1001:B1001"/>
    <mergeCell ref="C1001:M1001"/>
    <mergeCell ref="A1002:B1002"/>
    <mergeCell ref="C1002:M1002"/>
    <mergeCell ref="A1100:C1100"/>
    <mergeCell ref="E1100:F1100"/>
    <mergeCell ref="A1101:B1101"/>
    <mergeCell ref="C1101:M1101"/>
    <mergeCell ref="A1102:B1102"/>
    <mergeCell ref="C1102:M1102"/>
    <mergeCell ref="C1006:M1006"/>
    <mergeCell ref="C1007:M1007"/>
    <mergeCell ref="C1008:M1008"/>
    <mergeCell ref="B1009:M1009"/>
    <mergeCell ref="B1010:M1010"/>
    <mergeCell ref="B1011:L1011"/>
    <mergeCell ref="C1106:M1106"/>
    <mergeCell ref="C1107:M1107"/>
    <mergeCell ref="C1108:M1108"/>
    <mergeCell ref="B1109:M1109"/>
    <mergeCell ref="B1110:M1110"/>
    <mergeCell ref="B1111:L1111"/>
    <mergeCell ref="A1103:B1103"/>
    <mergeCell ref="C1103:M1103"/>
    <mergeCell ref="A1104:B1104"/>
    <mergeCell ref="C1104:M1104"/>
    <mergeCell ref="A1105:B1105"/>
    <mergeCell ref="C1105:M1105"/>
  </mergeCells>
  <phoneticPr fontId="2" type="noConversion"/>
  <pageMargins left="0.75" right="0.75" top="1" bottom="1" header="0.5" footer="0.5"/>
  <pageSetup paperSize="9" orientation="portrait" horizontalDpi="0" verticalDpi="0"/>
  <headerFooter scaleWithDoc="0"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2"/>
  <dimension ref="A1:AV31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778</v>
      </c>
      <c r="B1" s="498"/>
      <c r="C1" s="499"/>
      <c r="D1" s="87"/>
      <c r="E1" s="500" t="str">
        <f>HYPERLINK("#目录!A432","跳转回到目录页")</f>
        <v>跳转回到目录页</v>
      </c>
      <c r="F1" s="501"/>
    </row>
    <row r="2" spans="1:48" s="88" customFormat="1" ht="26.25" customHeight="1">
      <c r="A2" s="502" t="s">
        <v>1216</v>
      </c>
      <c r="B2" s="502"/>
      <c r="C2" s="503" t="s">
        <v>634</v>
      </c>
      <c r="D2" s="503"/>
      <c r="E2" s="503"/>
      <c r="F2" s="503"/>
      <c r="G2" s="503"/>
      <c r="H2" s="503"/>
      <c r="I2" s="503"/>
      <c r="J2" s="503"/>
      <c r="K2" s="503"/>
      <c r="L2" s="503"/>
      <c r="M2" s="503"/>
    </row>
    <row r="3" spans="1:48" s="88" customFormat="1" ht="16.5" customHeight="1">
      <c r="A3" s="496" t="s">
        <v>1217</v>
      </c>
      <c r="B3" s="496"/>
      <c r="C3" s="493" t="s">
        <v>5035</v>
      </c>
      <c r="D3" s="493"/>
      <c r="E3" s="493"/>
      <c r="F3" s="493"/>
      <c r="G3" s="493"/>
      <c r="H3" s="493"/>
      <c r="I3" s="493"/>
      <c r="J3" s="493"/>
      <c r="K3" s="493"/>
      <c r="L3" s="493"/>
      <c r="M3" s="493"/>
    </row>
    <row r="4" spans="1:48" s="88" customFormat="1" ht="16.5" customHeight="1">
      <c r="A4" s="496" t="s">
        <v>5786</v>
      </c>
      <c r="B4" s="496"/>
      <c r="C4" s="497" t="s">
        <v>634</v>
      </c>
      <c r="D4" s="497"/>
      <c r="E4" s="497"/>
      <c r="F4" s="497"/>
      <c r="G4" s="497"/>
      <c r="H4" s="497"/>
      <c r="I4" s="497"/>
      <c r="J4" s="497"/>
      <c r="K4" s="497"/>
      <c r="L4" s="497"/>
      <c r="M4" s="497"/>
    </row>
    <row r="5" spans="1:48" s="88" customFormat="1" ht="16.5" customHeight="1">
      <c r="A5" s="496" t="s">
        <v>1220</v>
      </c>
      <c r="B5" s="496"/>
      <c r="C5" s="493" t="s">
        <v>5036</v>
      </c>
      <c r="D5" s="493"/>
      <c r="E5" s="493"/>
      <c r="F5" s="493"/>
      <c r="G5" s="493"/>
      <c r="H5" s="493"/>
      <c r="I5" s="493"/>
      <c r="J5" s="493"/>
      <c r="K5" s="493"/>
      <c r="L5" s="493"/>
      <c r="M5" s="493"/>
    </row>
    <row r="6" spans="1:48" s="88" customFormat="1" ht="16.5" customHeight="1">
      <c r="A6" s="496" t="s">
        <v>5785</v>
      </c>
      <c r="B6" s="496"/>
      <c r="C6" s="493" t="s">
        <v>5037</v>
      </c>
      <c r="D6" s="493"/>
      <c r="E6" s="493"/>
      <c r="F6" s="493"/>
      <c r="G6" s="493"/>
      <c r="H6" s="493"/>
      <c r="I6" s="493"/>
      <c r="J6" s="493"/>
      <c r="K6" s="493"/>
      <c r="L6" s="493"/>
      <c r="M6" s="493"/>
    </row>
    <row r="7" spans="1:48" s="88" customFormat="1" ht="16.5" customHeight="1">
      <c r="A7" s="89" t="s">
        <v>1223</v>
      </c>
      <c r="B7" s="92" t="s">
        <v>5038</v>
      </c>
      <c r="C7" s="493" t="s">
        <v>5039</v>
      </c>
      <c r="D7" s="493"/>
      <c r="E7" s="493"/>
      <c r="F7" s="493"/>
      <c r="G7" s="493"/>
      <c r="H7" s="493"/>
      <c r="I7" s="493"/>
      <c r="J7" s="493"/>
      <c r="K7" s="493"/>
      <c r="L7" s="493"/>
      <c r="M7" s="493"/>
    </row>
    <row r="8" spans="1:48" s="88" customFormat="1" ht="16.5" customHeight="1">
      <c r="A8" s="89"/>
      <c r="B8" s="92" t="s">
        <v>5040</v>
      </c>
      <c r="C8" s="493" t="s">
        <v>5041</v>
      </c>
      <c r="D8" s="493"/>
      <c r="E8" s="493"/>
      <c r="F8" s="493"/>
      <c r="G8" s="493"/>
      <c r="H8" s="493"/>
      <c r="I8" s="493"/>
      <c r="J8" s="493"/>
      <c r="K8" s="493"/>
      <c r="L8" s="493"/>
      <c r="M8" s="493"/>
    </row>
    <row r="9" spans="1:48" s="88" customFormat="1" ht="16.5" customHeight="1">
      <c r="A9" s="89"/>
      <c r="B9" s="90" t="s">
        <v>5042</v>
      </c>
      <c r="C9" s="493" t="s">
        <v>5043</v>
      </c>
      <c r="D9" s="493"/>
      <c r="E9" s="493"/>
      <c r="F9" s="493"/>
      <c r="G9" s="493"/>
      <c r="H9" s="493"/>
      <c r="I9" s="493"/>
      <c r="J9" s="493"/>
      <c r="K9" s="493"/>
      <c r="L9" s="493"/>
      <c r="M9" s="493"/>
    </row>
    <row r="10" spans="1:48" s="88" customFormat="1" ht="16.5" customHeight="1">
      <c r="A10" s="89" t="s">
        <v>1228</v>
      </c>
      <c r="B10" s="493" t="s">
        <v>5044</v>
      </c>
      <c r="C10" s="493"/>
      <c r="D10" s="493"/>
      <c r="E10" s="493"/>
      <c r="F10" s="493"/>
      <c r="G10" s="493"/>
      <c r="H10" s="493"/>
      <c r="I10" s="493"/>
      <c r="J10" s="493"/>
      <c r="K10" s="493"/>
      <c r="L10" s="493"/>
      <c r="M10" s="493"/>
    </row>
    <row r="11" spans="1:48" ht="49.5" customHeight="1">
      <c r="A11" s="89" t="s">
        <v>1229</v>
      </c>
      <c r="B11" s="673" t="s">
        <v>5045</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1431</v>
      </c>
      <c r="C17" s="104" t="s">
        <v>1238</v>
      </c>
      <c r="E17" s="94" t="s">
        <v>4885</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t="str">
        <f>COMPLEX(3,4)</f>
        <v>3+4i</v>
      </c>
      <c r="C18" s="108" t="s">
        <v>5046</v>
      </c>
      <c r="E18" s="93" t="s">
        <v>5047</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t="str">
        <f>COMPLEX(3,4,"j")</f>
        <v>3+4j</v>
      </c>
      <c r="C19" s="108" t="s">
        <v>5048</v>
      </c>
      <c r="E19" s="93" t="s">
        <v>5049</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B20" s="93" t="str">
        <f>COMPLEX(0,1)</f>
        <v>i</v>
      </c>
      <c r="C20" s="108" t="s">
        <v>5050</v>
      </c>
      <c r="E20" s="93" t="s">
        <v>5051</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B21" s="93" t="str">
        <f>COMPLEX(1,0)</f>
        <v>1</v>
      </c>
      <c r="C21" s="108" t="s">
        <v>5052</v>
      </c>
      <c r="E21" s="93" t="s">
        <v>5053</v>
      </c>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E37" s="4"/>
      <c r="F37" s="4"/>
      <c r="G37" s="4"/>
      <c r="H37" s="4"/>
      <c r="I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E38" s="4"/>
      <c r="F38" s="4"/>
      <c r="G38" s="4"/>
      <c r="H38" s="4"/>
      <c r="I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E39" s="4"/>
      <c r="F39" s="4"/>
      <c r="G39" s="4"/>
      <c r="H39" s="4"/>
      <c r="I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E40" s="4"/>
      <c r="F40" s="4"/>
      <c r="G40" s="4"/>
      <c r="H40" s="4"/>
      <c r="I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E41" s="4"/>
      <c r="F41" s="4"/>
      <c r="G41" s="4"/>
      <c r="H41" s="4"/>
      <c r="I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E42" s="4"/>
      <c r="F42" s="4"/>
      <c r="G42" s="4"/>
      <c r="H42" s="4"/>
      <c r="I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E43" s="4"/>
      <c r="F43" s="4"/>
      <c r="G43" s="4"/>
      <c r="H43" s="4"/>
      <c r="I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E44" s="4"/>
      <c r="F44" s="4"/>
      <c r="G44" s="4"/>
      <c r="H44" s="4"/>
      <c r="I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J48" s="93"/>
      <c r="K48" s="93"/>
      <c r="L48" s="93"/>
      <c r="M48" s="93"/>
    </row>
    <row r="100" spans="1:13" s="88" customFormat="1" ht="26.25" customHeight="1">
      <c r="A100" s="498" t="s">
        <v>951</v>
      </c>
      <c r="B100" s="498"/>
      <c r="C100" s="499"/>
      <c r="D100" s="87"/>
      <c r="E100" s="500" t="str">
        <f>HYPERLINK("#目录!A433","跳转回到目录页")</f>
        <v>跳转回到目录页</v>
      </c>
      <c r="F100" s="501"/>
    </row>
    <row r="101" spans="1:13" s="88" customFormat="1" ht="26.25" customHeight="1">
      <c r="A101" s="502" t="s">
        <v>1216</v>
      </c>
      <c r="B101" s="502"/>
      <c r="C101" s="503" t="s">
        <v>635</v>
      </c>
      <c r="D101" s="503"/>
      <c r="E101" s="503"/>
      <c r="F101" s="503"/>
      <c r="G101" s="503"/>
      <c r="H101" s="503"/>
      <c r="I101" s="503"/>
      <c r="J101" s="503"/>
      <c r="K101" s="503"/>
      <c r="L101" s="503"/>
      <c r="M101" s="503"/>
    </row>
    <row r="102" spans="1:13" s="88" customFormat="1" ht="16.5" customHeight="1">
      <c r="A102" s="496" t="s">
        <v>1217</v>
      </c>
      <c r="B102" s="496"/>
      <c r="C102" s="493" t="s">
        <v>5054</v>
      </c>
      <c r="D102" s="493"/>
      <c r="E102" s="493"/>
      <c r="F102" s="493"/>
      <c r="G102" s="493"/>
      <c r="H102" s="493"/>
      <c r="I102" s="493"/>
      <c r="J102" s="493"/>
      <c r="K102" s="493"/>
      <c r="L102" s="493"/>
      <c r="M102" s="493"/>
    </row>
    <row r="103" spans="1:13" s="88" customFormat="1" ht="16.5" customHeight="1">
      <c r="A103" s="496" t="s">
        <v>5786</v>
      </c>
      <c r="B103" s="496"/>
      <c r="C103" s="497" t="s">
        <v>635</v>
      </c>
      <c r="D103" s="497"/>
      <c r="E103" s="497"/>
      <c r="F103" s="497"/>
      <c r="G103" s="497"/>
      <c r="H103" s="497"/>
      <c r="I103" s="497"/>
      <c r="J103" s="497"/>
      <c r="K103" s="497"/>
      <c r="L103" s="497"/>
      <c r="M103" s="497"/>
    </row>
    <row r="104" spans="1:13" s="88" customFormat="1" ht="16.5" customHeight="1">
      <c r="A104" s="496" t="s">
        <v>1220</v>
      </c>
      <c r="B104" s="496"/>
      <c r="C104" s="493" t="s">
        <v>5055</v>
      </c>
      <c r="D104" s="493"/>
      <c r="E104" s="493"/>
      <c r="F104" s="493"/>
      <c r="G104" s="493"/>
      <c r="H104" s="493"/>
      <c r="I104" s="493"/>
      <c r="J104" s="493"/>
      <c r="K104" s="493"/>
      <c r="L104" s="493"/>
      <c r="M104" s="493"/>
    </row>
    <row r="105" spans="1:13" s="88" customFormat="1" ht="16.5" customHeight="1">
      <c r="A105" s="496" t="s">
        <v>5785</v>
      </c>
      <c r="B105" s="496"/>
      <c r="C105" s="493" t="s">
        <v>5056</v>
      </c>
      <c r="D105" s="493"/>
      <c r="E105" s="493"/>
      <c r="F105" s="493"/>
      <c r="G105" s="493"/>
      <c r="H105" s="493"/>
      <c r="I105" s="493"/>
      <c r="J105" s="493"/>
      <c r="K105" s="493"/>
      <c r="L105" s="493"/>
      <c r="M105" s="493"/>
    </row>
    <row r="106" spans="1:13" s="88" customFormat="1" ht="16.5" customHeight="1">
      <c r="A106" s="89" t="s">
        <v>1223</v>
      </c>
      <c r="B106" s="92" t="s">
        <v>5057</v>
      </c>
      <c r="C106" s="493" t="s">
        <v>5058</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5059</v>
      </c>
      <c r="C109" s="493"/>
      <c r="D109" s="493"/>
      <c r="E109" s="493"/>
      <c r="F109" s="493"/>
      <c r="G109" s="493"/>
      <c r="H109" s="493"/>
      <c r="I109" s="493"/>
      <c r="J109" s="493"/>
      <c r="K109" s="493"/>
      <c r="L109" s="493"/>
      <c r="M109" s="493"/>
    </row>
    <row r="110" spans="1:13" ht="16.5" customHeight="1">
      <c r="A110" s="89" t="s">
        <v>1229</v>
      </c>
      <c r="B110" s="673" t="s">
        <v>2230</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10" s="93" customFormat="1" ht="17.25" customHeight="1">
      <c r="A113" s="94" t="s">
        <v>1232</v>
      </c>
      <c r="B113" s="93" t="s">
        <v>1773</v>
      </c>
    </row>
    <row r="114" spans="1:10" ht="17.25" customHeight="1"/>
    <row r="115" spans="1:10" ht="17.25" customHeight="1">
      <c r="A115" s="93"/>
      <c r="B115" s="93"/>
      <c r="C115" s="93"/>
      <c r="D115" s="93"/>
      <c r="E115" s="93"/>
      <c r="F115" s="93"/>
      <c r="G115" s="93"/>
      <c r="H115" s="93"/>
      <c r="I115" s="93"/>
      <c r="J115" s="93"/>
    </row>
    <row r="116" spans="1:10" ht="17.25" customHeight="1">
      <c r="A116" s="93"/>
      <c r="B116" s="94" t="s">
        <v>1431</v>
      </c>
      <c r="C116" s="104" t="s">
        <v>1238</v>
      </c>
      <c r="D116" s="93"/>
      <c r="E116" s="94" t="s">
        <v>4885</v>
      </c>
      <c r="F116" s="93"/>
      <c r="G116" s="93"/>
      <c r="H116" s="93"/>
      <c r="I116" s="93"/>
      <c r="J116" s="93"/>
    </row>
    <row r="117" spans="1:10" ht="17.25" customHeight="1">
      <c r="A117" s="93"/>
      <c r="B117" s="93">
        <f>IMREAL("6-9i")</f>
        <v>6</v>
      </c>
      <c r="C117" s="108" t="s">
        <v>5060</v>
      </c>
      <c r="D117" s="93"/>
      <c r="E117" s="93" t="s">
        <v>5061</v>
      </c>
      <c r="F117" s="93"/>
      <c r="G117" s="93"/>
      <c r="H117" s="93"/>
      <c r="I117" s="93"/>
      <c r="J117" s="93"/>
    </row>
    <row r="118" spans="1:10" ht="17.25" customHeight="1">
      <c r="A118" s="93"/>
      <c r="B118" s="93"/>
      <c r="C118" s="93"/>
      <c r="D118" s="93"/>
      <c r="E118" s="93"/>
      <c r="F118" s="93"/>
      <c r="G118" s="93"/>
      <c r="H118" s="93"/>
      <c r="I118" s="93"/>
      <c r="J118" s="93"/>
    </row>
    <row r="119" spans="1:10" ht="17.25" customHeight="1">
      <c r="A119" s="93"/>
      <c r="B119" s="93"/>
      <c r="C119" s="93"/>
      <c r="D119" s="93"/>
      <c r="E119" s="93"/>
      <c r="F119" s="93"/>
      <c r="G119" s="93"/>
      <c r="H119" s="93"/>
      <c r="I119" s="93"/>
      <c r="J119" s="93"/>
    </row>
    <row r="120" spans="1:10">
      <c r="A120" s="93"/>
      <c r="B120" s="93"/>
      <c r="C120" s="93"/>
      <c r="D120" s="93"/>
      <c r="E120" s="93"/>
      <c r="F120" s="93"/>
      <c r="G120" s="93"/>
      <c r="H120" s="93"/>
      <c r="I120" s="93"/>
      <c r="J120" s="93"/>
    </row>
    <row r="121" spans="1:10">
      <c r="A121" s="93"/>
      <c r="B121" s="93"/>
      <c r="C121" s="93"/>
      <c r="D121" s="93"/>
      <c r="E121" s="93"/>
      <c r="F121" s="93"/>
      <c r="G121" s="93"/>
      <c r="H121" s="93"/>
      <c r="I121" s="93"/>
      <c r="J121" s="93"/>
    </row>
    <row r="122" spans="1:10">
      <c r="A122" s="93"/>
      <c r="B122" s="93"/>
      <c r="C122" s="93"/>
      <c r="D122" s="93"/>
      <c r="E122" s="93"/>
      <c r="F122" s="93"/>
      <c r="G122" s="93"/>
      <c r="H122" s="93"/>
      <c r="I122" s="93"/>
      <c r="J122" s="93"/>
    </row>
    <row r="123" spans="1:10">
      <c r="A123" s="93"/>
      <c r="B123" s="93"/>
      <c r="C123" s="93"/>
      <c r="D123" s="93"/>
      <c r="E123" s="93"/>
      <c r="F123" s="93"/>
      <c r="G123" s="93"/>
      <c r="H123" s="93"/>
      <c r="I123" s="93"/>
      <c r="J123" s="93"/>
    </row>
    <row r="124" spans="1:10">
      <c r="A124" s="93"/>
      <c r="B124" s="93"/>
      <c r="C124" s="93"/>
      <c r="D124" s="93"/>
      <c r="E124" s="93"/>
      <c r="F124" s="93"/>
      <c r="G124" s="93"/>
      <c r="H124" s="93"/>
      <c r="I124" s="93"/>
      <c r="J124" s="93"/>
    </row>
    <row r="125" spans="1:10">
      <c r="A125" s="93"/>
      <c r="B125" s="93"/>
      <c r="C125" s="93"/>
      <c r="D125" s="93"/>
      <c r="E125" s="93"/>
      <c r="F125" s="93"/>
      <c r="G125" s="93"/>
      <c r="H125" s="93"/>
      <c r="I125" s="93"/>
      <c r="J125" s="93"/>
    </row>
    <row r="200" spans="1:13" s="88" customFormat="1" ht="26.25" customHeight="1">
      <c r="A200" s="498" t="s">
        <v>929</v>
      </c>
      <c r="B200" s="498"/>
      <c r="C200" s="499"/>
      <c r="D200" s="87"/>
      <c r="E200" s="500" t="str">
        <f>HYPERLINK("#目录!A434","跳转回到目录页")</f>
        <v>跳转回到目录页</v>
      </c>
      <c r="F200" s="501"/>
    </row>
    <row r="201" spans="1:13" s="88" customFormat="1" ht="26.25" customHeight="1">
      <c r="A201" s="502" t="s">
        <v>1216</v>
      </c>
      <c r="B201" s="502"/>
      <c r="C201" s="503" t="s">
        <v>636</v>
      </c>
      <c r="D201" s="503"/>
      <c r="E201" s="503"/>
      <c r="F201" s="503"/>
      <c r="G201" s="503"/>
      <c r="H201" s="503"/>
      <c r="I201" s="503"/>
      <c r="J201" s="503"/>
      <c r="K201" s="503"/>
      <c r="L201" s="503"/>
      <c r="M201" s="503"/>
    </row>
    <row r="202" spans="1:13" s="88" customFormat="1" ht="16.5" customHeight="1">
      <c r="A202" s="496" t="s">
        <v>1217</v>
      </c>
      <c r="B202" s="496"/>
      <c r="C202" s="493" t="s">
        <v>5062</v>
      </c>
      <c r="D202" s="493"/>
      <c r="E202" s="493"/>
      <c r="F202" s="493"/>
      <c r="G202" s="493"/>
      <c r="H202" s="493"/>
      <c r="I202" s="493"/>
      <c r="J202" s="493"/>
      <c r="K202" s="493"/>
      <c r="L202" s="493"/>
      <c r="M202" s="493"/>
    </row>
    <row r="203" spans="1:13" s="88" customFormat="1" ht="16.5" customHeight="1">
      <c r="A203" s="496" t="s">
        <v>5786</v>
      </c>
      <c r="B203" s="496"/>
      <c r="C203" s="497" t="s">
        <v>636</v>
      </c>
      <c r="D203" s="497"/>
      <c r="E203" s="497"/>
      <c r="F203" s="497"/>
      <c r="G203" s="497"/>
      <c r="H203" s="497"/>
      <c r="I203" s="497"/>
      <c r="J203" s="497"/>
      <c r="K203" s="497"/>
      <c r="L203" s="497"/>
      <c r="M203" s="497"/>
    </row>
    <row r="204" spans="1:13" s="88" customFormat="1" ht="16.5" customHeight="1">
      <c r="A204" s="496" t="s">
        <v>1220</v>
      </c>
      <c r="B204" s="496"/>
      <c r="C204" s="493" t="s">
        <v>5063</v>
      </c>
      <c r="D204" s="493"/>
      <c r="E204" s="493"/>
      <c r="F204" s="493"/>
      <c r="G204" s="493"/>
      <c r="H204" s="493"/>
      <c r="I204" s="493"/>
      <c r="J204" s="493"/>
      <c r="K204" s="493"/>
      <c r="L204" s="493"/>
      <c r="M204" s="493"/>
    </row>
    <row r="205" spans="1:13" s="88" customFormat="1" ht="16.5" customHeight="1">
      <c r="A205" s="496" t="s">
        <v>5785</v>
      </c>
      <c r="B205" s="496"/>
      <c r="C205" s="493" t="s">
        <v>5064</v>
      </c>
      <c r="D205" s="493"/>
      <c r="E205" s="493"/>
      <c r="F205" s="493"/>
      <c r="G205" s="493"/>
      <c r="H205" s="493"/>
      <c r="I205" s="493"/>
      <c r="J205" s="493"/>
      <c r="K205" s="493"/>
      <c r="L205" s="493"/>
      <c r="M205" s="493"/>
    </row>
    <row r="206" spans="1:13" s="88" customFormat="1" ht="16.5" customHeight="1">
      <c r="A206" s="89" t="s">
        <v>1223</v>
      </c>
      <c r="B206" s="92" t="s">
        <v>5057</v>
      </c>
      <c r="C206" s="493" t="s">
        <v>5065</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t="s">
        <v>5059</v>
      </c>
      <c r="C209" s="493"/>
      <c r="D209" s="493"/>
      <c r="E209" s="493"/>
      <c r="F209" s="493"/>
      <c r="G209" s="493"/>
      <c r="H209" s="493"/>
      <c r="I209" s="493"/>
      <c r="J209" s="493"/>
      <c r="K209" s="493"/>
      <c r="L209" s="493"/>
      <c r="M209" s="493"/>
    </row>
    <row r="210" spans="1:13" ht="16.5" customHeight="1">
      <c r="A210" s="89" t="s">
        <v>1229</v>
      </c>
      <c r="B210" s="673" t="s">
        <v>2230</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c r="E213" s="4"/>
      <c r="F213" s="4"/>
      <c r="G213" s="4"/>
      <c r="H213" s="4"/>
    </row>
    <row r="214" spans="1:13" ht="16.5" customHeight="1"/>
    <row r="215" spans="1:13" ht="16.5" customHeight="1"/>
    <row r="216" spans="1:13" ht="16.5" customHeight="1">
      <c r="B216" s="94" t="s">
        <v>1431</v>
      </c>
      <c r="C216" s="104" t="s">
        <v>1238</v>
      </c>
      <c r="D216" s="93"/>
      <c r="E216" s="94" t="s">
        <v>4885</v>
      </c>
      <c r="F216" s="93"/>
    </row>
    <row r="217" spans="1:13" ht="16.5" customHeight="1">
      <c r="B217" s="93">
        <f>IMAGINARY("3+4i")</f>
        <v>4</v>
      </c>
      <c r="C217" s="108" t="s">
        <v>5066</v>
      </c>
      <c r="D217" s="93"/>
      <c r="E217" s="93" t="s">
        <v>5067</v>
      </c>
      <c r="F217" s="93"/>
    </row>
    <row r="218" spans="1:13" ht="16.5" customHeight="1">
      <c r="B218" s="93">
        <f>IMAGINARY("0-j")</f>
        <v>-1</v>
      </c>
      <c r="C218" s="108" t="s">
        <v>5068</v>
      </c>
      <c r="D218" s="93"/>
      <c r="E218" s="93" t="s">
        <v>5069</v>
      </c>
      <c r="F218" s="93"/>
    </row>
    <row r="219" spans="1:13" ht="16.5" customHeight="1">
      <c r="B219" s="93">
        <f>IMAGINARY(4)</f>
        <v>0</v>
      </c>
      <c r="C219" s="108" t="s">
        <v>5070</v>
      </c>
      <c r="D219" s="93"/>
      <c r="E219" s="93" t="s">
        <v>5071</v>
      </c>
      <c r="F219" s="93"/>
    </row>
    <row r="220" spans="1:13">
      <c r="B220" s="93"/>
      <c r="D220" s="93"/>
      <c r="E220" s="93"/>
      <c r="F220" s="93"/>
    </row>
    <row r="221" spans="1:13">
      <c r="B221" s="93"/>
      <c r="C221" s="93"/>
      <c r="D221" s="93"/>
      <c r="E221" s="93"/>
      <c r="F221" s="93"/>
    </row>
    <row r="300" spans="1:13" s="88" customFormat="1" ht="26.25" customHeight="1">
      <c r="A300" s="498" t="s">
        <v>933</v>
      </c>
      <c r="B300" s="498"/>
      <c r="C300" s="499"/>
      <c r="D300" s="87"/>
      <c r="E300" s="500" t="str">
        <f>HYPERLINK("#目录!A435","跳转回到目录页")</f>
        <v>跳转回到目录页</v>
      </c>
      <c r="F300" s="501"/>
    </row>
    <row r="301" spans="1:13" s="88" customFormat="1" ht="26.25" customHeight="1">
      <c r="A301" s="502" t="s">
        <v>1216</v>
      </c>
      <c r="B301" s="502"/>
      <c r="C301" s="503" t="s">
        <v>637</v>
      </c>
      <c r="D301" s="503"/>
      <c r="E301" s="503"/>
      <c r="F301" s="503"/>
      <c r="G301" s="503"/>
      <c r="H301" s="503"/>
      <c r="I301" s="503"/>
      <c r="J301" s="503"/>
      <c r="K301" s="503"/>
      <c r="L301" s="503"/>
      <c r="M301" s="503"/>
    </row>
    <row r="302" spans="1:13" s="88" customFormat="1" ht="16.5" customHeight="1">
      <c r="A302" s="496" t="s">
        <v>1217</v>
      </c>
      <c r="B302" s="496"/>
      <c r="C302" s="493" t="s">
        <v>5072</v>
      </c>
      <c r="D302" s="493"/>
      <c r="E302" s="493"/>
      <c r="F302" s="493"/>
      <c r="G302" s="493"/>
      <c r="H302" s="493"/>
      <c r="I302" s="493"/>
      <c r="J302" s="493"/>
      <c r="K302" s="493"/>
      <c r="L302" s="493"/>
      <c r="M302" s="493"/>
    </row>
    <row r="303" spans="1:13" s="88" customFormat="1" ht="16.5" customHeight="1">
      <c r="A303" s="496" t="s">
        <v>5786</v>
      </c>
      <c r="B303" s="496"/>
      <c r="C303" s="497" t="s">
        <v>637</v>
      </c>
      <c r="D303" s="497"/>
      <c r="E303" s="497"/>
      <c r="F303" s="497"/>
      <c r="G303" s="497"/>
      <c r="H303" s="497"/>
      <c r="I303" s="497"/>
      <c r="J303" s="497"/>
      <c r="K303" s="497"/>
      <c r="L303" s="497"/>
      <c r="M303" s="497"/>
    </row>
    <row r="304" spans="1:13" s="88" customFormat="1" ht="16.5" customHeight="1">
      <c r="A304" s="496" t="s">
        <v>1220</v>
      </c>
      <c r="B304" s="496"/>
      <c r="C304" s="493" t="s">
        <v>5073</v>
      </c>
      <c r="D304" s="493"/>
      <c r="E304" s="493"/>
      <c r="F304" s="493"/>
      <c r="G304" s="493"/>
      <c r="H304" s="493"/>
      <c r="I304" s="493"/>
      <c r="J304" s="493"/>
      <c r="K304" s="493"/>
      <c r="L304" s="493"/>
      <c r="M304" s="493"/>
    </row>
    <row r="305" spans="1:13" s="88" customFormat="1" ht="16.5" customHeight="1">
      <c r="A305" s="496" t="s">
        <v>5785</v>
      </c>
      <c r="B305" s="496"/>
      <c r="C305" s="493" t="s">
        <v>5074</v>
      </c>
      <c r="D305" s="493"/>
      <c r="E305" s="493"/>
      <c r="F305" s="493"/>
      <c r="G305" s="493"/>
      <c r="H305" s="493"/>
      <c r="I305" s="493"/>
      <c r="J305" s="493"/>
      <c r="K305" s="493"/>
      <c r="L305" s="493"/>
      <c r="M305" s="493"/>
    </row>
    <row r="306" spans="1:13" s="88" customFormat="1" ht="16.5" customHeight="1">
      <c r="A306" s="89" t="s">
        <v>1223</v>
      </c>
      <c r="B306" s="92" t="s">
        <v>5057</v>
      </c>
      <c r="C306" s="493" t="s">
        <v>5075</v>
      </c>
      <c r="D306" s="493"/>
      <c r="E306" s="493"/>
      <c r="F306" s="493"/>
      <c r="G306" s="493"/>
      <c r="H306" s="493"/>
      <c r="I306" s="493"/>
      <c r="J306" s="493"/>
      <c r="K306" s="493"/>
      <c r="L306" s="493"/>
      <c r="M306" s="493"/>
    </row>
    <row r="307" spans="1:13" s="88" customFormat="1" ht="16.5" customHeight="1">
      <c r="A307" s="89"/>
      <c r="B307" s="92"/>
      <c r="C307" s="493"/>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t="s">
        <v>5059</v>
      </c>
      <c r="C309" s="493"/>
      <c r="D309" s="493"/>
      <c r="E309" s="493"/>
      <c r="F309" s="493"/>
      <c r="G309" s="493"/>
      <c r="H309" s="493"/>
      <c r="I309" s="493"/>
      <c r="J309" s="493"/>
      <c r="K309" s="493"/>
      <c r="L309" s="493"/>
      <c r="M309" s="493"/>
    </row>
    <row r="310" spans="1:13" ht="16.5" customHeight="1">
      <c r="A310" s="89" t="s">
        <v>1229</v>
      </c>
      <c r="B310" s="673" t="s">
        <v>2230</v>
      </c>
      <c r="C310" s="673"/>
      <c r="D310" s="673"/>
      <c r="E310" s="673"/>
      <c r="F310" s="673"/>
      <c r="G310" s="673"/>
      <c r="H310" s="673"/>
      <c r="I310" s="673"/>
      <c r="J310" s="673"/>
      <c r="K310" s="673"/>
      <c r="L310" s="673"/>
      <c r="M310" s="67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row r="316" spans="1:13" ht="16.5" customHeight="1">
      <c r="B316" s="94" t="s">
        <v>1431</v>
      </c>
      <c r="C316" s="104" t="s">
        <v>1238</v>
      </c>
      <c r="D316" s="93" t="s">
        <v>3592</v>
      </c>
      <c r="E316" s="94" t="s">
        <v>4885</v>
      </c>
    </row>
    <row r="317" spans="1:13" ht="16.5" customHeight="1">
      <c r="B317" s="93" t="str">
        <f>IMCONJUGATE("3+4i")</f>
        <v>3-4i</v>
      </c>
      <c r="C317" s="108" t="s">
        <v>5076</v>
      </c>
      <c r="D317" s="93"/>
      <c r="E317" s="93" t="s">
        <v>5077</v>
      </c>
    </row>
    <row r="318" spans="1:13" ht="16.5" customHeight="1">
      <c r="B318" s="93"/>
      <c r="C318" s="93"/>
      <c r="D318" s="93"/>
      <c r="E318" s="93"/>
    </row>
  </sheetData>
  <mergeCells count="7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 ref="A300:C300"/>
    <mergeCell ref="E300:F300"/>
    <mergeCell ref="A301:B301"/>
    <mergeCell ref="C301:M301"/>
    <mergeCell ref="A302:B302"/>
    <mergeCell ref="C302:M302"/>
    <mergeCell ref="B311:L311"/>
    <mergeCell ref="A303:B303"/>
    <mergeCell ref="C303:M303"/>
    <mergeCell ref="A304:B304"/>
    <mergeCell ref="C304:M304"/>
    <mergeCell ref="A305:B305"/>
    <mergeCell ref="C305:M305"/>
    <mergeCell ref="C306:M306"/>
    <mergeCell ref="C307:M307"/>
    <mergeCell ref="C308:M308"/>
    <mergeCell ref="B309:M309"/>
    <mergeCell ref="B310:M310"/>
  </mergeCells>
  <phoneticPr fontId="2" type="noConversion"/>
  <pageMargins left="0.75" right="0.75" top="1" bottom="1" header="0.5" footer="0.5"/>
  <headerFooter scaleWithDoc="0"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3"/>
  <dimension ref="A1:AV120"/>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927</v>
      </c>
      <c r="B1" s="498"/>
      <c r="C1" s="499"/>
      <c r="D1" s="87"/>
      <c r="E1" s="500" t="str">
        <f>HYPERLINK("#目录!A437","跳转回到目录页")</f>
        <v>跳转回到目录页</v>
      </c>
      <c r="F1" s="501"/>
    </row>
    <row r="2" spans="1:48" s="88" customFormat="1" ht="26.25" customHeight="1">
      <c r="A2" s="502" t="s">
        <v>1216</v>
      </c>
      <c r="B2" s="502"/>
      <c r="C2" s="503" t="s">
        <v>639</v>
      </c>
      <c r="D2" s="503"/>
      <c r="E2" s="503"/>
      <c r="F2" s="503"/>
      <c r="G2" s="503"/>
      <c r="H2" s="503"/>
      <c r="I2" s="503"/>
      <c r="J2" s="503"/>
      <c r="K2" s="503"/>
      <c r="L2" s="503"/>
      <c r="M2" s="503"/>
    </row>
    <row r="3" spans="1:48" s="88" customFormat="1" ht="16.5" customHeight="1">
      <c r="A3" s="496" t="s">
        <v>1217</v>
      </c>
      <c r="B3" s="496"/>
      <c r="C3" s="493" t="s">
        <v>5078</v>
      </c>
      <c r="D3" s="493"/>
      <c r="E3" s="493"/>
      <c r="F3" s="493"/>
      <c r="G3" s="493"/>
      <c r="H3" s="493"/>
      <c r="I3" s="493"/>
      <c r="J3" s="493"/>
      <c r="K3" s="493"/>
      <c r="L3" s="493"/>
      <c r="M3" s="493"/>
    </row>
    <row r="4" spans="1:48" s="88" customFormat="1" ht="16.5" customHeight="1">
      <c r="A4" s="496" t="s">
        <v>5786</v>
      </c>
      <c r="B4" s="496"/>
      <c r="C4" s="497" t="s">
        <v>639</v>
      </c>
      <c r="D4" s="497"/>
      <c r="E4" s="497"/>
      <c r="F4" s="497"/>
      <c r="G4" s="497"/>
      <c r="H4" s="497"/>
      <c r="I4" s="497"/>
      <c r="J4" s="497"/>
      <c r="K4" s="497"/>
      <c r="L4" s="497"/>
      <c r="M4" s="497"/>
    </row>
    <row r="5" spans="1:48" s="88" customFormat="1" ht="16.5" customHeight="1">
      <c r="A5" s="496" t="s">
        <v>1220</v>
      </c>
      <c r="B5" s="496"/>
      <c r="C5" s="493" t="s">
        <v>5079</v>
      </c>
      <c r="D5" s="493"/>
      <c r="E5" s="493"/>
      <c r="F5" s="493"/>
      <c r="G5" s="493"/>
      <c r="H5" s="493"/>
      <c r="I5" s="493"/>
      <c r="J5" s="493"/>
      <c r="K5" s="493"/>
      <c r="L5" s="493"/>
      <c r="M5" s="493"/>
    </row>
    <row r="6" spans="1:48" s="88" customFormat="1" ht="16.5" customHeight="1">
      <c r="A6" s="496" t="s">
        <v>5785</v>
      </c>
      <c r="B6" s="496"/>
      <c r="C6" s="493" t="s">
        <v>5080</v>
      </c>
      <c r="D6" s="493"/>
      <c r="E6" s="493"/>
      <c r="F6" s="493"/>
      <c r="G6" s="493"/>
      <c r="H6" s="493"/>
      <c r="I6" s="493"/>
      <c r="J6" s="493"/>
      <c r="K6" s="493"/>
      <c r="L6" s="493"/>
      <c r="M6" s="493"/>
    </row>
    <row r="7" spans="1:48" s="88" customFormat="1" ht="16.5" customHeight="1">
      <c r="A7" s="89" t="s">
        <v>1223</v>
      </c>
      <c r="B7" s="92" t="s">
        <v>5057</v>
      </c>
      <c r="C7" s="493" t="s">
        <v>5081</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5059</v>
      </c>
      <c r="C10" s="493"/>
      <c r="D10" s="493"/>
      <c r="E10" s="493"/>
      <c r="F10" s="493"/>
      <c r="G10" s="493"/>
      <c r="H10" s="493"/>
      <c r="I10" s="493"/>
      <c r="J10" s="493"/>
      <c r="K10" s="493"/>
      <c r="L10" s="493"/>
      <c r="M10" s="493"/>
    </row>
    <row r="11" spans="1:48" ht="16.5" customHeight="1">
      <c r="A11" s="89" t="s">
        <v>1229</v>
      </c>
      <c r="B11" s="673" t="s">
        <v>2230</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1431</v>
      </c>
      <c r="C17" s="104" t="s">
        <v>1238</v>
      </c>
      <c r="E17" s="93" t="s">
        <v>4885</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f>IMABS("5+12i")</f>
        <v>13</v>
      </c>
      <c r="C18" s="108" t="s">
        <v>5082</v>
      </c>
      <c r="E18" s="93" t="s">
        <v>5083</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931</v>
      </c>
      <c r="B100" s="498"/>
      <c r="C100" s="499"/>
      <c r="D100" s="87"/>
      <c r="E100" s="500" t="str">
        <f>HYPERLINK("#目录!A438","跳转回到目录页")</f>
        <v>跳转回到目录页</v>
      </c>
      <c r="F100" s="501"/>
    </row>
    <row r="101" spans="1:13" s="88" customFormat="1" ht="26.25" customHeight="1">
      <c r="A101" s="502" t="s">
        <v>1216</v>
      </c>
      <c r="B101" s="502"/>
      <c r="C101" s="503" t="s">
        <v>640</v>
      </c>
      <c r="D101" s="503"/>
      <c r="E101" s="503"/>
      <c r="F101" s="503"/>
      <c r="G101" s="503"/>
      <c r="H101" s="503"/>
      <c r="I101" s="503"/>
      <c r="J101" s="503"/>
      <c r="K101" s="503"/>
      <c r="L101" s="503"/>
      <c r="M101" s="503"/>
    </row>
    <row r="102" spans="1:13" s="88" customFormat="1" ht="16.5" customHeight="1">
      <c r="A102" s="496" t="s">
        <v>1217</v>
      </c>
      <c r="B102" s="496"/>
      <c r="C102" s="493" t="s">
        <v>640</v>
      </c>
      <c r="D102" s="493"/>
      <c r="E102" s="493"/>
      <c r="F102" s="493"/>
      <c r="G102" s="493"/>
      <c r="H102" s="493"/>
      <c r="I102" s="493"/>
      <c r="J102" s="493"/>
      <c r="K102" s="493"/>
      <c r="L102" s="493"/>
      <c r="M102" s="493"/>
    </row>
    <row r="103" spans="1:13" s="88" customFormat="1" ht="16.5" customHeight="1">
      <c r="A103" s="496" t="s">
        <v>5786</v>
      </c>
      <c r="B103" s="496"/>
      <c r="C103" s="497" t="s">
        <v>640</v>
      </c>
      <c r="D103" s="497"/>
      <c r="E103" s="497"/>
      <c r="F103" s="497"/>
      <c r="G103" s="497"/>
      <c r="H103" s="497"/>
      <c r="I103" s="497"/>
      <c r="J103" s="497"/>
      <c r="K103" s="497"/>
      <c r="L103" s="497"/>
      <c r="M103" s="497"/>
    </row>
    <row r="104" spans="1:13" s="88" customFormat="1" ht="16.5" customHeight="1">
      <c r="A104" s="496" t="s">
        <v>1220</v>
      </c>
      <c r="B104" s="496"/>
      <c r="C104" s="493" t="s">
        <v>5084</v>
      </c>
      <c r="D104" s="493"/>
      <c r="E104" s="493"/>
      <c r="F104" s="493"/>
      <c r="G104" s="493"/>
      <c r="H104" s="493"/>
      <c r="I104" s="493"/>
      <c r="J104" s="493"/>
      <c r="K104" s="493"/>
      <c r="L104" s="493"/>
      <c r="M104" s="493"/>
    </row>
    <row r="105" spans="1:13" s="88" customFormat="1" ht="16.5" customHeight="1">
      <c r="A105" s="496" t="s">
        <v>5785</v>
      </c>
      <c r="B105" s="496"/>
      <c r="C105" s="493" t="s">
        <v>5085</v>
      </c>
      <c r="D105" s="493"/>
      <c r="E105" s="493"/>
      <c r="F105" s="493"/>
      <c r="G105" s="493"/>
      <c r="H105" s="493"/>
      <c r="I105" s="493"/>
      <c r="J105" s="493"/>
      <c r="K105" s="493"/>
      <c r="L105" s="493"/>
      <c r="M105" s="493"/>
    </row>
    <row r="106" spans="1:13" s="88" customFormat="1" ht="16.5" customHeight="1">
      <c r="A106" s="89" t="s">
        <v>1223</v>
      </c>
      <c r="B106" s="92" t="s">
        <v>5057</v>
      </c>
      <c r="C106" s="493" t="s">
        <v>5086</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5059</v>
      </c>
      <c r="C109" s="493"/>
      <c r="D109" s="493"/>
      <c r="E109" s="493"/>
      <c r="F109" s="493"/>
      <c r="G109" s="493"/>
      <c r="H109" s="493"/>
      <c r="I109" s="493"/>
      <c r="J109" s="493"/>
      <c r="K109" s="493"/>
      <c r="L109" s="493"/>
      <c r="M109" s="493"/>
    </row>
    <row r="110" spans="1:13" ht="16.5" customHeight="1">
      <c r="A110" s="89" t="s">
        <v>1229</v>
      </c>
      <c r="B110" s="673" t="s">
        <v>2230</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8" s="93" customFormat="1" ht="16.5" customHeight="1">
      <c r="A113" s="94" t="s">
        <v>1232</v>
      </c>
      <c r="B113" s="93" t="s">
        <v>1773</v>
      </c>
    </row>
    <row r="114" spans="1:8" ht="16.5" customHeight="1">
      <c r="B114" s="93"/>
      <c r="C114" s="93"/>
      <c r="E114" s="93"/>
      <c r="F114" s="93"/>
      <c r="G114" s="93"/>
      <c r="H114" s="93"/>
    </row>
    <row r="115" spans="1:8" ht="16.5" customHeight="1">
      <c r="B115" s="93"/>
      <c r="C115" s="93"/>
      <c r="D115" s="93"/>
      <c r="E115" s="93"/>
      <c r="F115" s="93"/>
      <c r="G115" s="93"/>
      <c r="H115" s="93"/>
    </row>
    <row r="116" spans="1:8" ht="16.5" customHeight="1">
      <c r="B116" s="94" t="s">
        <v>1431</v>
      </c>
      <c r="C116" s="104" t="s">
        <v>1238</v>
      </c>
      <c r="D116" s="93"/>
      <c r="E116" s="93" t="s">
        <v>2289</v>
      </c>
      <c r="G116" s="93"/>
      <c r="H116" s="93"/>
    </row>
    <row r="117" spans="1:8" ht="16.5" customHeight="1">
      <c r="B117" s="93">
        <f>IMARGUMENT("3+4i")</f>
        <v>0.92729521800161219</v>
      </c>
      <c r="C117" s="108" t="s">
        <v>5087</v>
      </c>
      <c r="D117" s="93"/>
      <c r="E117" s="93" t="s">
        <v>5088</v>
      </c>
      <c r="G117" s="93"/>
      <c r="H117" s="93"/>
    </row>
    <row r="118" spans="1:8" ht="16.5" customHeight="1">
      <c r="B118" s="93"/>
      <c r="C118" s="93"/>
      <c r="D118" s="93"/>
      <c r="E118" s="93"/>
      <c r="F118" s="93"/>
      <c r="G118" s="93"/>
      <c r="H118" s="93"/>
    </row>
    <row r="119" spans="1:8">
      <c r="B119" s="93"/>
      <c r="C119" s="93"/>
      <c r="D119" s="93"/>
      <c r="E119" s="93"/>
      <c r="F119" s="93"/>
      <c r="G119" s="93"/>
      <c r="H119" s="93"/>
    </row>
    <row r="120" spans="1:8">
      <c r="B120" s="93"/>
      <c r="C120" s="93"/>
      <c r="D120" s="93"/>
      <c r="E120" s="93"/>
      <c r="F120" s="93"/>
      <c r="G120" s="93"/>
      <c r="H120" s="93"/>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4"/>
  <dimension ref="A1:AV317"/>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957</v>
      </c>
      <c r="B1" s="498"/>
      <c r="C1" s="499"/>
      <c r="D1" s="87"/>
      <c r="E1" s="500" t="str">
        <f>HYPERLINK("#目录!A440","跳转回到目录页")</f>
        <v>跳转回到目录页</v>
      </c>
      <c r="F1" s="501"/>
    </row>
    <row r="2" spans="1:48" s="88" customFormat="1" ht="26.25" customHeight="1">
      <c r="A2" s="502" t="s">
        <v>1216</v>
      </c>
      <c r="B2" s="502"/>
      <c r="C2" s="503" t="s">
        <v>642</v>
      </c>
      <c r="D2" s="503"/>
      <c r="E2" s="503"/>
      <c r="F2" s="503"/>
      <c r="G2" s="503"/>
      <c r="H2" s="503"/>
      <c r="I2" s="503"/>
      <c r="J2" s="503"/>
      <c r="K2" s="503"/>
      <c r="L2" s="503"/>
      <c r="M2" s="503"/>
    </row>
    <row r="3" spans="1:48" s="88" customFormat="1" ht="16.5" customHeight="1">
      <c r="A3" s="496" t="s">
        <v>1217</v>
      </c>
      <c r="B3" s="496"/>
      <c r="C3" s="493" t="s">
        <v>5089</v>
      </c>
      <c r="D3" s="493"/>
      <c r="E3" s="493"/>
      <c r="F3" s="493"/>
      <c r="G3" s="493"/>
      <c r="H3" s="493"/>
      <c r="I3" s="493"/>
      <c r="J3" s="493"/>
      <c r="K3" s="493"/>
      <c r="L3" s="493"/>
      <c r="M3" s="493"/>
    </row>
    <row r="4" spans="1:48" s="88" customFormat="1" ht="16.5" customHeight="1">
      <c r="A4" s="496" t="s">
        <v>5786</v>
      </c>
      <c r="B4" s="496"/>
      <c r="C4" s="497" t="s">
        <v>642</v>
      </c>
      <c r="D4" s="497"/>
      <c r="E4" s="497"/>
      <c r="F4" s="497"/>
      <c r="G4" s="497"/>
      <c r="H4" s="497"/>
      <c r="I4" s="497"/>
      <c r="J4" s="497"/>
      <c r="K4" s="497"/>
      <c r="L4" s="497"/>
      <c r="M4" s="497"/>
    </row>
    <row r="5" spans="1:48" s="88" customFormat="1" ht="16.5" customHeight="1">
      <c r="A5" s="496" t="s">
        <v>1220</v>
      </c>
      <c r="B5" s="496"/>
      <c r="C5" s="493" t="s">
        <v>5090</v>
      </c>
      <c r="D5" s="493"/>
      <c r="E5" s="493"/>
      <c r="F5" s="493"/>
      <c r="G5" s="493"/>
      <c r="H5" s="493"/>
      <c r="I5" s="493"/>
      <c r="J5" s="493"/>
      <c r="K5" s="493"/>
      <c r="L5" s="493"/>
      <c r="M5" s="493"/>
    </row>
    <row r="6" spans="1:48" s="88" customFormat="1" ht="16.5" customHeight="1">
      <c r="A6" s="496" t="s">
        <v>5785</v>
      </c>
      <c r="B6" s="496"/>
      <c r="C6" s="493" t="s">
        <v>5091</v>
      </c>
      <c r="D6" s="493"/>
      <c r="E6" s="493"/>
      <c r="F6" s="493"/>
      <c r="G6" s="493"/>
      <c r="H6" s="493"/>
      <c r="I6" s="493"/>
      <c r="J6" s="493"/>
      <c r="K6" s="493"/>
      <c r="L6" s="493"/>
      <c r="M6" s="493"/>
    </row>
    <row r="7" spans="1:48" s="88" customFormat="1" ht="16.5" customHeight="1">
      <c r="A7" s="89" t="s">
        <v>1223</v>
      </c>
      <c r="B7" s="92" t="s">
        <v>5057</v>
      </c>
      <c r="C7" s="493" t="s">
        <v>5092</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5059</v>
      </c>
      <c r="C10" s="493"/>
      <c r="D10" s="493"/>
      <c r="E10" s="493"/>
      <c r="F10" s="493"/>
      <c r="G10" s="493"/>
      <c r="H10" s="493"/>
      <c r="I10" s="493"/>
      <c r="J10" s="493"/>
      <c r="K10" s="493"/>
      <c r="L10" s="493"/>
      <c r="M10" s="493"/>
    </row>
    <row r="11" spans="1:48" ht="16.5" customHeight="1">
      <c r="A11" s="89" t="s">
        <v>1229</v>
      </c>
      <c r="B11" s="673" t="s">
        <v>2230</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1431</v>
      </c>
      <c r="C17" s="104" t="s">
        <v>1238</v>
      </c>
      <c r="E17" s="94" t="s">
        <v>4885</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t="str">
        <f>IMSUM("3+4i","5-3i")</f>
        <v>8+i</v>
      </c>
      <c r="C18" s="108" t="s">
        <v>5093</v>
      </c>
      <c r="E18" s="93" t="s">
        <v>5094</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5095</v>
      </c>
      <c r="B100" s="498"/>
      <c r="C100" s="499"/>
      <c r="D100" s="87"/>
      <c r="E100" s="500" t="str">
        <f>HYPERLINK("#目录!A441","跳转回到目录页")</f>
        <v>跳转回到目录页</v>
      </c>
      <c r="F100" s="501"/>
    </row>
    <row r="101" spans="1:13" s="88" customFormat="1" ht="26.25" customHeight="1">
      <c r="A101" s="502" t="s">
        <v>1216</v>
      </c>
      <c r="B101" s="502"/>
      <c r="C101" s="503" t="s">
        <v>643</v>
      </c>
      <c r="D101" s="503"/>
      <c r="E101" s="503"/>
      <c r="F101" s="503"/>
      <c r="G101" s="503"/>
      <c r="H101" s="503"/>
      <c r="I101" s="503"/>
      <c r="J101" s="503"/>
      <c r="K101" s="503"/>
      <c r="L101" s="503"/>
      <c r="M101" s="503"/>
    </row>
    <row r="102" spans="1:13" s="88" customFormat="1" ht="16.5" customHeight="1">
      <c r="A102" s="496" t="s">
        <v>1217</v>
      </c>
      <c r="B102" s="496"/>
      <c r="C102" s="493" t="s">
        <v>5096</v>
      </c>
      <c r="D102" s="493"/>
      <c r="E102" s="493"/>
      <c r="F102" s="493"/>
      <c r="G102" s="493"/>
      <c r="H102" s="493"/>
      <c r="I102" s="493"/>
      <c r="J102" s="493"/>
      <c r="K102" s="493"/>
      <c r="L102" s="493"/>
      <c r="M102" s="493"/>
    </row>
    <row r="103" spans="1:13" s="88" customFormat="1" ht="16.5" customHeight="1">
      <c r="A103" s="496" t="s">
        <v>5786</v>
      </c>
      <c r="B103" s="496"/>
      <c r="C103" s="497" t="s">
        <v>643</v>
      </c>
      <c r="D103" s="497"/>
      <c r="E103" s="497"/>
      <c r="F103" s="497"/>
      <c r="G103" s="497"/>
      <c r="H103" s="497"/>
      <c r="I103" s="497"/>
      <c r="J103" s="497"/>
      <c r="K103" s="497"/>
      <c r="L103" s="497"/>
      <c r="M103" s="497"/>
    </row>
    <row r="104" spans="1:13" s="88" customFormat="1" ht="16.5" customHeight="1">
      <c r="A104" s="496" t="s">
        <v>1220</v>
      </c>
      <c r="B104" s="496"/>
      <c r="C104" s="493" t="s">
        <v>5097</v>
      </c>
      <c r="D104" s="493"/>
      <c r="E104" s="493"/>
      <c r="F104" s="493"/>
      <c r="G104" s="493"/>
      <c r="H104" s="493"/>
      <c r="I104" s="493"/>
      <c r="J104" s="493"/>
      <c r="K104" s="493"/>
      <c r="L104" s="493"/>
      <c r="M104" s="493"/>
    </row>
    <row r="105" spans="1:13" s="88" customFormat="1" ht="16.5" customHeight="1">
      <c r="A105" s="496" t="s">
        <v>5785</v>
      </c>
      <c r="B105" s="496"/>
      <c r="C105" s="493" t="s">
        <v>5098</v>
      </c>
      <c r="D105" s="493"/>
      <c r="E105" s="493"/>
      <c r="F105" s="493"/>
      <c r="G105" s="493"/>
      <c r="H105" s="493"/>
      <c r="I105" s="493"/>
      <c r="J105" s="493"/>
      <c r="K105" s="493"/>
      <c r="L105" s="493"/>
      <c r="M105" s="493"/>
    </row>
    <row r="106" spans="1:13" s="88" customFormat="1" ht="16.5" customHeight="1">
      <c r="A106" s="89" t="s">
        <v>1223</v>
      </c>
      <c r="B106" s="92" t="s">
        <v>5099</v>
      </c>
      <c r="C106" s="493" t="s">
        <v>5100</v>
      </c>
      <c r="D106" s="493"/>
      <c r="E106" s="493"/>
      <c r="F106" s="493"/>
      <c r="G106" s="493"/>
      <c r="H106" s="493"/>
      <c r="I106" s="493"/>
      <c r="J106" s="493"/>
      <c r="K106" s="493"/>
      <c r="L106" s="493"/>
      <c r="M106" s="493"/>
    </row>
    <row r="107" spans="1:13" s="88" customFormat="1" ht="16.5" customHeight="1">
      <c r="A107" s="89"/>
      <c r="B107" s="92" t="s">
        <v>5101</v>
      </c>
      <c r="C107" s="493" t="s">
        <v>5102</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5059</v>
      </c>
      <c r="C109" s="493"/>
      <c r="D109" s="493"/>
      <c r="E109" s="493"/>
      <c r="F109" s="493"/>
      <c r="G109" s="493"/>
      <c r="H109" s="493"/>
      <c r="I109" s="493"/>
      <c r="J109" s="493"/>
      <c r="K109" s="493"/>
      <c r="L109" s="493"/>
      <c r="M109" s="493"/>
    </row>
    <row r="110" spans="1:13" ht="16.5" customHeight="1">
      <c r="A110" s="89" t="s">
        <v>1229</v>
      </c>
      <c r="B110" s="673" t="s">
        <v>2230</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9" s="93" customFormat="1" ht="16.5" customHeight="1">
      <c r="A113" s="94" t="s">
        <v>1232</v>
      </c>
      <c r="B113" s="93" t="s">
        <v>1773</v>
      </c>
    </row>
    <row r="114" spans="1:9" ht="16.5" customHeight="1"/>
    <row r="115" spans="1:9" ht="16.5" customHeight="1"/>
    <row r="116" spans="1:9" ht="16.5" customHeight="1">
      <c r="B116" s="94" t="s">
        <v>1431</v>
      </c>
      <c r="C116" s="104" t="s">
        <v>1238</v>
      </c>
      <c r="D116" s="93" t="s">
        <v>3592</v>
      </c>
      <c r="F116" s="94" t="s">
        <v>4885</v>
      </c>
      <c r="G116" s="93"/>
      <c r="H116" s="93"/>
      <c r="I116" s="93"/>
    </row>
    <row r="117" spans="1:9" ht="16.5" customHeight="1">
      <c r="B117" s="93" t="str">
        <f>IMSUB("13+4i","5+3i")</f>
        <v>8+i</v>
      </c>
      <c r="C117" s="108" t="s">
        <v>5103</v>
      </c>
      <c r="D117" s="93"/>
      <c r="F117" s="93" t="s">
        <v>5104</v>
      </c>
      <c r="G117" s="93"/>
      <c r="H117" s="93"/>
      <c r="I117" s="93"/>
    </row>
    <row r="118" spans="1:9" ht="16.5" customHeight="1">
      <c r="B118" s="93"/>
      <c r="C118" s="93"/>
      <c r="D118" s="93"/>
      <c r="F118" s="93"/>
      <c r="G118" s="93"/>
      <c r="H118" s="93"/>
      <c r="I118" s="93"/>
    </row>
    <row r="119" spans="1:9" ht="16.5" customHeight="1">
      <c r="B119" s="93"/>
      <c r="C119" s="93"/>
      <c r="D119" s="93"/>
      <c r="E119" s="93"/>
      <c r="F119" s="93"/>
      <c r="G119" s="93"/>
      <c r="H119" s="93"/>
      <c r="I119" s="93"/>
    </row>
    <row r="120" spans="1:9">
      <c r="B120" s="93"/>
      <c r="C120" s="93"/>
      <c r="D120" s="93"/>
      <c r="E120" s="93"/>
      <c r="F120" s="93"/>
      <c r="G120" s="93"/>
      <c r="H120" s="93"/>
      <c r="I120" s="93"/>
    </row>
    <row r="200" spans="1:13" s="88" customFormat="1" ht="26.25" customHeight="1">
      <c r="A200" s="498" t="s">
        <v>949</v>
      </c>
      <c r="B200" s="498"/>
      <c r="C200" s="499"/>
      <c r="D200" s="87"/>
      <c r="E200" s="500" t="str">
        <f>HYPERLINK("#目录!A442","跳转回到目录页")</f>
        <v>跳转回到目录页</v>
      </c>
      <c r="F200" s="501"/>
    </row>
    <row r="201" spans="1:13" s="88" customFormat="1" ht="26.25" customHeight="1">
      <c r="A201" s="502" t="s">
        <v>1216</v>
      </c>
      <c r="B201" s="502"/>
      <c r="C201" s="503" t="s">
        <v>644</v>
      </c>
      <c r="D201" s="503"/>
      <c r="E201" s="503"/>
      <c r="F201" s="503"/>
      <c r="G201" s="503"/>
      <c r="H201" s="503"/>
      <c r="I201" s="503"/>
      <c r="J201" s="503"/>
      <c r="K201" s="503"/>
      <c r="L201" s="503"/>
      <c r="M201" s="503"/>
    </row>
    <row r="202" spans="1:13" s="88" customFormat="1" ht="16.5" customHeight="1">
      <c r="A202" s="496" t="s">
        <v>1217</v>
      </c>
      <c r="B202" s="496"/>
      <c r="C202" s="493" t="s">
        <v>5105</v>
      </c>
      <c r="D202" s="493"/>
      <c r="E202" s="493"/>
      <c r="F202" s="493"/>
      <c r="G202" s="493"/>
      <c r="H202" s="493"/>
      <c r="I202" s="493"/>
      <c r="J202" s="493"/>
      <c r="K202" s="493"/>
      <c r="L202" s="493"/>
      <c r="M202" s="493"/>
    </row>
    <row r="203" spans="1:13" s="88" customFormat="1" ht="16.5" customHeight="1">
      <c r="A203" s="496" t="s">
        <v>5786</v>
      </c>
      <c r="B203" s="496"/>
      <c r="C203" s="497" t="s">
        <v>644</v>
      </c>
      <c r="D203" s="497"/>
      <c r="E203" s="497"/>
      <c r="F203" s="497"/>
      <c r="G203" s="497"/>
      <c r="H203" s="497"/>
      <c r="I203" s="497"/>
      <c r="J203" s="497"/>
      <c r="K203" s="497"/>
      <c r="L203" s="497"/>
      <c r="M203" s="497"/>
    </row>
    <row r="204" spans="1:13" s="88" customFormat="1" ht="16.5" customHeight="1">
      <c r="A204" s="496" t="s">
        <v>1220</v>
      </c>
      <c r="B204" s="496"/>
      <c r="C204" s="493" t="s">
        <v>5106</v>
      </c>
      <c r="D204" s="493"/>
      <c r="E204" s="493"/>
      <c r="F204" s="493"/>
      <c r="G204" s="493"/>
      <c r="H204" s="493"/>
      <c r="I204" s="493"/>
      <c r="J204" s="493"/>
      <c r="K204" s="493"/>
      <c r="L204" s="493"/>
      <c r="M204" s="493"/>
    </row>
    <row r="205" spans="1:13" s="88" customFormat="1" ht="16.5" customHeight="1">
      <c r="A205" s="496" t="s">
        <v>5785</v>
      </c>
      <c r="B205" s="496"/>
      <c r="C205" s="493" t="s">
        <v>5107</v>
      </c>
      <c r="D205" s="493"/>
      <c r="E205" s="493"/>
      <c r="F205" s="493"/>
      <c r="G205" s="493"/>
      <c r="H205" s="493"/>
      <c r="I205" s="493"/>
      <c r="J205" s="493"/>
      <c r="K205" s="493"/>
      <c r="L205" s="493"/>
      <c r="M205" s="493"/>
    </row>
    <row r="206" spans="1:13" s="88" customFormat="1" ht="16.5" customHeight="1">
      <c r="A206" s="89" t="s">
        <v>1223</v>
      </c>
      <c r="B206" s="92" t="s">
        <v>5057</v>
      </c>
      <c r="C206" s="493" t="s">
        <v>5108</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t="s">
        <v>5059</v>
      </c>
      <c r="C209" s="493"/>
      <c r="D209" s="493"/>
      <c r="E209" s="493"/>
      <c r="F209" s="493"/>
      <c r="G209" s="493"/>
      <c r="H209" s="493"/>
      <c r="I209" s="493"/>
      <c r="J209" s="493"/>
      <c r="K209" s="493"/>
      <c r="L209" s="493"/>
      <c r="M209" s="493"/>
    </row>
    <row r="210" spans="1:13" ht="16.5" customHeight="1">
      <c r="A210" s="89" t="s">
        <v>1229</v>
      </c>
      <c r="B210" s="673" t="s">
        <v>2230</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row r="216" spans="1:13" ht="16.5" customHeight="1">
      <c r="B216" s="94" t="s">
        <v>1431</v>
      </c>
      <c r="C216" s="104" t="s">
        <v>1238</v>
      </c>
      <c r="D216" s="93"/>
      <c r="F216" s="94" t="s">
        <v>4885</v>
      </c>
      <c r="G216" s="93"/>
    </row>
    <row r="217" spans="1:13" ht="16.5" customHeight="1">
      <c r="B217" s="93" t="str">
        <f>IMPRODUCT("3+4i","5-3i")</f>
        <v>27+11i</v>
      </c>
      <c r="C217" s="108" t="s">
        <v>5109</v>
      </c>
      <c r="D217" s="93"/>
      <c r="F217" s="93" t="s">
        <v>5110</v>
      </c>
      <c r="G217" s="93"/>
    </row>
    <row r="218" spans="1:13" ht="16.5" customHeight="1">
      <c r="B218" s="93" t="str">
        <f>IMPRODUCT("1+2i",30)</f>
        <v>30+60i</v>
      </c>
      <c r="C218" s="108" t="s">
        <v>5111</v>
      </c>
      <c r="D218" s="93"/>
      <c r="F218" s="93" t="s">
        <v>5112</v>
      </c>
      <c r="G218" s="93"/>
    </row>
    <row r="219" spans="1:13" ht="16.5" customHeight="1">
      <c r="B219" s="93"/>
      <c r="C219" s="93"/>
      <c r="D219" s="93"/>
      <c r="E219" s="93"/>
      <c r="F219" s="93"/>
      <c r="G219" s="93"/>
    </row>
    <row r="300" spans="1:13" s="88" customFormat="1" ht="26.25" customHeight="1">
      <c r="A300" s="498" t="s">
        <v>937</v>
      </c>
      <c r="B300" s="498"/>
      <c r="C300" s="499"/>
      <c r="D300" s="87"/>
      <c r="E300" s="500" t="str">
        <f>HYPERLINK("#目录!A443","跳转回到目录页")</f>
        <v>跳转回到目录页</v>
      </c>
      <c r="F300" s="501"/>
    </row>
    <row r="301" spans="1:13" s="88" customFormat="1" ht="26.25" customHeight="1">
      <c r="A301" s="502" t="s">
        <v>1216</v>
      </c>
      <c r="B301" s="502"/>
      <c r="C301" s="503" t="s">
        <v>645</v>
      </c>
      <c r="D301" s="503"/>
      <c r="E301" s="503"/>
      <c r="F301" s="503"/>
      <c r="G301" s="503"/>
      <c r="H301" s="503"/>
      <c r="I301" s="503"/>
      <c r="J301" s="503"/>
      <c r="K301" s="503"/>
      <c r="L301" s="503"/>
      <c r="M301" s="503"/>
    </row>
    <row r="302" spans="1:13" s="88" customFormat="1" ht="16.5" customHeight="1">
      <c r="A302" s="496" t="s">
        <v>1217</v>
      </c>
      <c r="B302" s="496"/>
      <c r="C302" s="493" t="s">
        <v>5113</v>
      </c>
      <c r="D302" s="493"/>
      <c r="E302" s="493"/>
      <c r="F302" s="493"/>
      <c r="G302" s="493"/>
      <c r="H302" s="493"/>
      <c r="I302" s="493"/>
      <c r="J302" s="493"/>
      <c r="K302" s="493"/>
      <c r="L302" s="493"/>
      <c r="M302" s="493"/>
    </row>
    <row r="303" spans="1:13" s="88" customFormat="1" ht="16.5" customHeight="1">
      <c r="A303" s="496" t="s">
        <v>5786</v>
      </c>
      <c r="B303" s="496"/>
      <c r="C303" s="497" t="s">
        <v>645</v>
      </c>
      <c r="D303" s="497"/>
      <c r="E303" s="497"/>
      <c r="F303" s="497"/>
      <c r="G303" s="497"/>
      <c r="H303" s="497"/>
      <c r="I303" s="497"/>
      <c r="J303" s="497"/>
      <c r="K303" s="497"/>
      <c r="L303" s="497"/>
      <c r="M303" s="497"/>
    </row>
    <row r="304" spans="1:13" s="88" customFormat="1" ht="16.5" customHeight="1">
      <c r="A304" s="496" t="s">
        <v>1220</v>
      </c>
      <c r="B304" s="496"/>
      <c r="C304" s="493" t="s">
        <v>5114</v>
      </c>
      <c r="D304" s="493"/>
      <c r="E304" s="493"/>
      <c r="F304" s="493"/>
      <c r="G304" s="493"/>
      <c r="H304" s="493"/>
      <c r="I304" s="493"/>
      <c r="J304" s="493"/>
      <c r="K304" s="493"/>
      <c r="L304" s="493"/>
      <c r="M304" s="493"/>
    </row>
    <row r="305" spans="1:13" s="88" customFormat="1" ht="16.5" customHeight="1">
      <c r="A305" s="496" t="s">
        <v>5785</v>
      </c>
      <c r="B305" s="496"/>
      <c r="C305" s="493" t="s">
        <v>5115</v>
      </c>
      <c r="D305" s="493"/>
      <c r="E305" s="493"/>
      <c r="F305" s="493"/>
      <c r="G305" s="493"/>
      <c r="H305" s="493"/>
      <c r="I305" s="493"/>
      <c r="J305" s="493"/>
      <c r="K305" s="493"/>
      <c r="L305" s="493"/>
      <c r="M305" s="493"/>
    </row>
    <row r="306" spans="1:13" s="88" customFormat="1" ht="16.5" customHeight="1">
      <c r="A306" s="89" t="s">
        <v>1223</v>
      </c>
      <c r="B306" s="92" t="s">
        <v>5099</v>
      </c>
      <c r="C306" s="493" t="s">
        <v>5116</v>
      </c>
      <c r="D306" s="493"/>
      <c r="E306" s="493"/>
      <c r="F306" s="493"/>
      <c r="G306" s="493"/>
      <c r="H306" s="493"/>
      <c r="I306" s="493"/>
      <c r="J306" s="493"/>
      <c r="K306" s="493"/>
      <c r="L306" s="493"/>
      <c r="M306" s="493"/>
    </row>
    <row r="307" spans="1:13" s="88" customFormat="1" ht="16.5" customHeight="1">
      <c r="A307" s="89"/>
      <c r="B307" s="92" t="s">
        <v>5101</v>
      </c>
      <c r="C307" s="493" t="s">
        <v>5117</v>
      </c>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t="s">
        <v>5059</v>
      </c>
      <c r="C309" s="493"/>
      <c r="D309" s="493"/>
      <c r="E309" s="493"/>
      <c r="F309" s="493"/>
      <c r="G309" s="493"/>
      <c r="H309" s="493"/>
      <c r="I309" s="493"/>
      <c r="J309" s="493"/>
      <c r="K309" s="493"/>
      <c r="L309" s="493"/>
      <c r="M309" s="493"/>
    </row>
    <row r="310" spans="1:13" ht="16.5" customHeight="1">
      <c r="A310" s="89" t="s">
        <v>1229</v>
      </c>
      <c r="B310" s="673" t="s">
        <v>2230</v>
      </c>
      <c r="C310" s="673"/>
      <c r="D310" s="673"/>
      <c r="E310" s="673"/>
      <c r="F310" s="673"/>
      <c r="G310" s="673"/>
      <c r="H310" s="673"/>
      <c r="I310" s="673"/>
      <c r="J310" s="673"/>
      <c r="K310" s="673"/>
      <c r="L310" s="673"/>
      <c r="M310" s="67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row r="316" spans="1:13" ht="16.5" customHeight="1">
      <c r="B316" s="94" t="s">
        <v>1431</v>
      </c>
      <c r="C316" s="104" t="s">
        <v>1238</v>
      </c>
      <c r="D316" s="93"/>
      <c r="F316" s="93" t="s">
        <v>4885</v>
      </c>
      <c r="G316" s="93"/>
    </row>
    <row r="317" spans="1:13" ht="16.5" customHeight="1">
      <c r="B317" s="93" t="str">
        <f>IMDIV("-238+240i","10+24i")</f>
        <v>5+12i</v>
      </c>
      <c r="C317" s="108" t="s">
        <v>5118</v>
      </c>
      <c r="D317" s="93"/>
      <c r="F317" s="93" t="s">
        <v>5119</v>
      </c>
      <c r="G317" s="93"/>
    </row>
  </sheetData>
  <mergeCells count="7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 ref="A300:C300"/>
    <mergeCell ref="E300:F300"/>
    <mergeCell ref="A301:B301"/>
    <mergeCell ref="C301:M301"/>
    <mergeCell ref="A302:B302"/>
    <mergeCell ref="C302:M302"/>
    <mergeCell ref="B311:L311"/>
    <mergeCell ref="A303:B303"/>
    <mergeCell ref="C303:M303"/>
    <mergeCell ref="A304:B304"/>
    <mergeCell ref="C304:M304"/>
    <mergeCell ref="A305:B305"/>
    <mergeCell ref="C305:M305"/>
    <mergeCell ref="C306:M306"/>
    <mergeCell ref="C307:M307"/>
    <mergeCell ref="C308:M308"/>
    <mergeCell ref="B309:M309"/>
    <mergeCell ref="B310:M310"/>
  </mergeCells>
  <phoneticPr fontId="2" type="noConversion"/>
  <pageMargins left="0.75" right="0.75" top="1" bottom="1" header="0.5" footer="0.5"/>
  <headerFooter scaleWithDoc="0"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5"/>
  <dimension ref="A1:AV11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939</v>
      </c>
      <c r="B1" s="498"/>
      <c r="C1" s="499"/>
      <c r="D1" s="87"/>
      <c r="E1" s="500" t="str">
        <f>HYPERLINK("#目录!A447","跳转回到目录页")</f>
        <v>跳转回到目录页</v>
      </c>
      <c r="F1" s="501"/>
    </row>
    <row r="2" spans="1:48" s="88" customFormat="1" ht="26.25" customHeight="1">
      <c r="A2" s="502" t="s">
        <v>1216</v>
      </c>
      <c r="B2" s="502"/>
      <c r="C2" s="503" t="s">
        <v>648</v>
      </c>
      <c r="D2" s="503"/>
      <c r="E2" s="503"/>
      <c r="F2" s="503"/>
      <c r="G2" s="503"/>
      <c r="H2" s="503"/>
      <c r="I2" s="503"/>
      <c r="J2" s="503"/>
      <c r="K2" s="503"/>
      <c r="L2" s="503"/>
      <c r="M2" s="503"/>
    </row>
    <row r="3" spans="1:48" s="88" customFormat="1" ht="16.5" customHeight="1">
      <c r="A3" s="496" t="s">
        <v>1217</v>
      </c>
      <c r="B3" s="496"/>
      <c r="C3" s="493" t="s">
        <v>5120</v>
      </c>
      <c r="D3" s="493"/>
      <c r="E3" s="493"/>
      <c r="F3" s="493"/>
      <c r="G3" s="493"/>
      <c r="H3" s="493"/>
      <c r="I3" s="493"/>
      <c r="J3" s="493"/>
      <c r="K3" s="493"/>
      <c r="L3" s="493"/>
      <c r="M3" s="493"/>
    </row>
    <row r="4" spans="1:48" s="88" customFormat="1" ht="16.5" customHeight="1">
      <c r="A4" s="496" t="s">
        <v>5786</v>
      </c>
      <c r="B4" s="496"/>
      <c r="C4" s="497" t="s">
        <v>648</v>
      </c>
      <c r="D4" s="497"/>
      <c r="E4" s="497"/>
      <c r="F4" s="497"/>
      <c r="G4" s="497"/>
      <c r="H4" s="497"/>
      <c r="I4" s="497"/>
      <c r="J4" s="497"/>
      <c r="K4" s="497"/>
      <c r="L4" s="497"/>
      <c r="M4" s="497"/>
    </row>
    <row r="5" spans="1:48" s="88" customFormat="1" ht="16.5" customHeight="1">
      <c r="A5" s="496" t="s">
        <v>1220</v>
      </c>
      <c r="B5" s="496"/>
      <c r="C5" s="493" t="s">
        <v>5121</v>
      </c>
      <c r="D5" s="493"/>
      <c r="E5" s="493"/>
      <c r="F5" s="493"/>
      <c r="G5" s="493"/>
      <c r="H5" s="493"/>
      <c r="I5" s="493"/>
      <c r="J5" s="493"/>
      <c r="K5" s="493"/>
      <c r="L5" s="493"/>
      <c r="M5" s="493"/>
    </row>
    <row r="6" spans="1:48" s="88" customFormat="1" ht="16.5" customHeight="1">
      <c r="A6" s="496" t="s">
        <v>5785</v>
      </c>
      <c r="B6" s="496"/>
      <c r="C6" s="493" t="s">
        <v>5122</v>
      </c>
      <c r="D6" s="493"/>
      <c r="E6" s="493"/>
      <c r="F6" s="493"/>
      <c r="G6" s="493"/>
      <c r="H6" s="493"/>
      <c r="I6" s="493"/>
      <c r="J6" s="493"/>
      <c r="K6" s="493"/>
      <c r="L6" s="493"/>
      <c r="M6" s="493"/>
    </row>
    <row r="7" spans="1:48" s="88" customFormat="1" ht="16.5" customHeight="1">
      <c r="A7" s="89" t="s">
        <v>1223</v>
      </c>
      <c r="B7" s="92" t="s">
        <v>5057</v>
      </c>
      <c r="C7" s="493" t="s">
        <v>5123</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5059</v>
      </c>
      <c r="C10" s="493"/>
      <c r="D10" s="493"/>
      <c r="E10" s="493"/>
      <c r="F10" s="493"/>
      <c r="G10" s="493"/>
      <c r="H10" s="493"/>
      <c r="I10" s="493"/>
      <c r="J10" s="493"/>
      <c r="K10" s="493"/>
      <c r="L10" s="493"/>
      <c r="M10" s="493"/>
    </row>
    <row r="11" spans="1:48" ht="16.5" customHeight="1">
      <c r="A11" s="89" t="s">
        <v>1229</v>
      </c>
      <c r="B11" s="673" t="s">
        <v>2230</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D17" s="94" t="s">
        <v>1431</v>
      </c>
      <c r="E17" s="104" t="s">
        <v>1238</v>
      </c>
      <c r="G17" s="94" t="s">
        <v>4885</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D18" s="116" t="str">
        <f>IMEXP("1+i")</f>
        <v>1.46869393991589+2.28735528717884i</v>
      </c>
      <c r="E18" s="108" t="s">
        <v>5124</v>
      </c>
      <c r="G18" s="93" t="s">
        <v>5125</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947</v>
      </c>
      <c r="B100" s="498"/>
      <c r="C100" s="499"/>
      <c r="D100" s="87"/>
      <c r="E100" s="500" t="str">
        <f>HYPERLINK("#目录!A448","跳转回到目录页")</f>
        <v>跳转回到目录页</v>
      </c>
      <c r="F100" s="501"/>
    </row>
    <row r="101" spans="1:13" s="88" customFormat="1" ht="26.25" customHeight="1">
      <c r="A101" s="502" t="s">
        <v>1216</v>
      </c>
      <c r="B101" s="502"/>
      <c r="C101" s="503" t="s">
        <v>649</v>
      </c>
      <c r="D101" s="503"/>
      <c r="E101" s="503"/>
      <c r="F101" s="503"/>
      <c r="G101" s="503"/>
      <c r="H101" s="503"/>
      <c r="I101" s="503"/>
      <c r="J101" s="503"/>
      <c r="K101" s="503"/>
      <c r="L101" s="503"/>
      <c r="M101" s="503"/>
    </row>
    <row r="102" spans="1:13" s="88" customFormat="1" ht="16.5" customHeight="1">
      <c r="A102" s="496" t="s">
        <v>1217</v>
      </c>
      <c r="B102" s="496"/>
      <c r="C102" s="493" t="s">
        <v>5126</v>
      </c>
      <c r="D102" s="493"/>
      <c r="E102" s="493"/>
      <c r="F102" s="493"/>
      <c r="G102" s="493"/>
      <c r="H102" s="493"/>
      <c r="I102" s="493"/>
      <c r="J102" s="493"/>
      <c r="K102" s="493"/>
      <c r="L102" s="493"/>
      <c r="M102" s="493"/>
    </row>
    <row r="103" spans="1:13" s="88" customFormat="1" ht="16.5" customHeight="1">
      <c r="A103" s="496" t="s">
        <v>5786</v>
      </c>
      <c r="B103" s="496"/>
      <c r="C103" s="497" t="s">
        <v>649</v>
      </c>
      <c r="D103" s="497"/>
      <c r="E103" s="497"/>
      <c r="F103" s="497"/>
      <c r="G103" s="497"/>
      <c r="H103" s="497"/>
      <c r="I103" s="497"/>
      <c r="J103" s="497"/>
      <c r="K103" s="497"/>
      <c r="L103" s="497"/>
      <c r="M103" s="497"/>
    </row>
    <row r="104" spans="1:13" s="88" customFormat="1" ht="16.5" customHeight="1">
      <c r="A104" s="496" t="s">
        <v>1220</v>
      </c>
      <c r="B104" s="496"/>
      <c r="C104" s="493" t="s">
        <v>5127</v>
      </c>
      <c r="D104" s="493"/>
      <c r="E104" s="493"/>
      <c r="F104" s="493"/>
      <c r="G104" s="493"/>
      <c r="H104" s="493"/>
      <c r="I104" s="493"/>
      <c r="J104" s="493"/>
      <c r="K104" s="493"/>
      <c r="L104" s="493"/>
      <c r="M104" s="493"/>
    </row>
    <row r="105" spans="1:13" s="88" customFormat="1" ht="16.5" customHeight="1">
      <c r="A105" s="496" t="s">
        <v>5785</v>
      </c>
      <c r="B105" s="496"/>
      <c r="C105" s="493" t="s">
        <v>5128</v>
      </c>
      <c r="D105" s="493"/>
      <c r="E105" s="493"/>
      <c r="F105" s="493"/>
      <c r="G105" s="493"/>
      <c r="H105" s="493"/>
      <c r="I105" s="493"/>
      <c r="J105" s="493"/>
      <c r="K105" s="493"/>
      <c r="L105" s="493"/>
      <c r="M105" s="493"/>
    </row>
    <row r="106" spans="1:13" s="88" customFormat="1" ht="16.5" customHeight="1">
      <c r="A106" s="89" t="s">
        <v>1223</v>
      </c>
      <c r="B106" s="92" t="s">
        <v>5057</v>
      </c>
      <c r="C106" s="493" t="s">
        <v>5129</v>
      </c>
      <c r="D106" s="493"/>
      <c r="E106" s="493"/>
      <c r="F106" s="493"/>
      <c r="G106" s="493"/>
      <c r="H106" s="493"/>
      <c r="I106" s="493"/>
      <c r="J106" s="493"/>
      <c r="K106" s="493"/>
      <c r="L106" s="493"/>
      <c r="M106" s="493"/>
    </row>
    <row r="107" spans="1:13" s="88" customFormat="1" ht="16.5" customHeight="1">
      <c r="A107" s="89"/>
      <c r="B107" s="92" t="s">
        <v>2200</v>
      </c>
      <c r="C107" s="493" t="s">
        <v>5130</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5059</v>
      </c>
      <c r="C109" s="493"/>
      <c r="D109" s="493"/>
      <c r="E109" s="493"/>
      <c r="F109" s="493"/>
      <c r="G109" s="493"/>
      <c r="H109" s="493"/>
      <c r="I109" s="493"/>
      <c r="J109" s="493"/>
      <c r="K109" s="493"/>
      <c r="L109" s="493"/>
      <c r="M109" s="493"/>
    </row>
    <row r="110" spans="1:13" ht="37.5" customHeight="1">
      <c r="A110" s="89" t="s">
        <v>1229</v>
      </c>
      <c r="B110" s="673" t="s">
        <v>5131</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G114" s="4"/>
      <c r="H114" s="4"/>
      <c r="I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c r="B115" s="93"/>
      <c r="C115" s="93"/>
      <c r="D115" s="93"/>
      <c r="E115" s="93"/>
      <c r="F115" s="93"/>
    </row>
    <row r="116" spans="1:48" ht="16.5" customHeight="1">
      <c r="D116" s="93" t="s">
        <v>1431</v>
      </c>
      <c r="E116" s="104" t="s">
        <v>1238</v>
      </c>
      <c r="F116" s="93"/>
      <c r="G116" s="93" t="s">
        <v>4885</v>
      </c>
    </row>
    <row r="117" spans="1:48" ht="16.5" customHeight="1">
      <c r="D117" s="116" t="str">
        <f>IMPOWER("2+3i",3)</f>
        <v>-46+9.00000000000001i</v>
      </c>
      <c r="E117" s="108" t="s">
        <v>5132</v>
      </c>
      <c r="F117" s="93"/>
      <c r="G117" s="93" t="s">
        <v>5133</v>
      </c>
    </row>
    <row r="118" spans="1:48">
      <c r="D118" s="93"/>
      <c r="E118" s="93"/>
      <c r="F118" s="93"/>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6"/>
  <dimension ref="A1:AV21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941</v>
      </c>
      <c r="B1" s="498"/>
      <c r="C1" s="499"/>
      <c r="D1" s="87"/>
      <c r="E1" s="500" t="str">
        <f>HYPERLINK("#目录!A450","跳转回到目录页")</f>
        <v>跳转回到目录页</v>
      </c>
      <c r="F1" s="501"/>
    </row>
    <row r="2" spans="1:48" s="88" customFormat="1" ht="26.25" customHeight="1">
      <c r="A2" s="502" t="s">
        <v>1216</v>
      </c>
      <c r="B2" s="502"/>
      <c r="C2" s="503" t="s">
        <v>651</v>
      </c>
      <c r="D2" s="503"/>
      <c r="E2" s="503"/>
      <c r="F2" s="503"/>
      <c r="G2" s="503"/>
      <c r="H2" s="503"/>
      <c r="I2" s="503"/>
      <c r="J2" s="503"/>
      <c r="K2" s="503"/>
      <c r="L2" s="503"/>
      <c r="M2" s="503"/>
    </row>
    <row r="3" spans="1:48" s="88" customFormat="1" ht="16.5" customHeight="1">
      <c r="A3" s="496" t="s">
        <v>1217</v>
      </c>
      <c r="B3" s="496"/>
      <c r="C3" s="493" t="s">
        <v>5134</v>
      </c>
      <c r="D3" s="493"/>
      <c r="E3" s="493"/>
      <c r="F3" s="493"/>
      <c r="G3" s="493"/>
      <c r="H3" s="493"/>
      <c r="I3" s="493"/>
      <c r="J3" s="493"/>
      <c r="K3" s="493"/>
      <c r="L3" s="493"/>
      <c r="M3" s="493"/>
    </row>
    <row r="4" spans="1:48" s="88" customFormat="1" ht="16.5" customHeight="1">
      <c r="A4" s="496" t="s">
        <v>5786</v>
      </c>
      <c r="B4" s="496"/>
      <c r="C4" s="497" t="s">
        <v>651</v>
      </c>
      <c r="D4" s="497"/>
      <c r="E4" s="497"/>
      <c r="F4" s="497"/>
      <c r="G4" s="497"/>
      <c r="H4" s="497"/>
      <c r="I4" s="497"/>
      <c r="J4" s="497"/>
      <c r="K4" s="497"/>
      <c r="L4" s="497"/>
      <c r="M4" s="497"/>
    </row>
    <row r="5" spans="1:48" s="88" customFormat="1" ht="16.5" customHeight="1">
      <c r="A5" s="496" t="s">
        <v>1220</v>
      </c>
      <c r="B5" s="496"/>
      <c r="C5" s="493" t="s">
        <v>5135</v>
      </c>
      <c r="D5" s="493"/>
      <c r="E5" s="493"/>
      <c r="F5" s="493"/>
      <c r="G5" s="493"/>
      <c r="H5" s="493"/>
      <c r="I5" s="493"/>
      <c r="J5" s="493"/>
      <c r="K5" s="493"/>
      <c r="L5" s="493"/>
      <c r="M5" s="493"/>
    </row>
    <row r="6" spans="1:48" s="88" customFormat="1" ht="16.5" customHeight="1">
      <c r="A6" s="496" t="s">
        <v>5785</v>
      </c>
      <c r="B6" s="496"/>
      <c r="C6" s="493" t="s">
        <v>5136</v>
      </c>
      <c r="D6" s="493"/>
      <c r="E6" s="493"/>
      <c r="F6" s="493"/>
      <c r="G6" s="493"/>
      <c r="H6" s="493"/>
      <c r="I6" s="493"/>
      <c r="J6" s="493"/>
      <c r="K6" s="493"/>
      <c r="L6" s="493"/>
      <c r="M6" s="493"/>
    </row>
    <row r="7" spans="1:48" s="88" customFormat="1" ht="16.5" customHeight="1">
      <c r="A7" s="89" t="s">
        <v>1223</v>
      </c>
      <c r="B7" s="92" t="s">
        <v>5057</v>
      </c>
      <c r="C7" s="493" t="s">
        <v>5137</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5059</v>
      </c>
      <c r="C10" s="493"/>
      <c r="D10" s="493"/>
      <c r="E10" s="493"/>
      <c r="F10" s="493"/>
      <c r="G10" s="493"/>
      <c r="H10" s="493"/>
      <c r="I10" s="493"/>
      <c r="J10" s="493"/>
      <c r="K10" s="493"/>
      <c r="L10" s="493"/>
      <c r="M10" s="493"/>
    </row>
    <row r="11" spans="1:48" ht="16.5" customHeight="1">
      <c r="A11" s="89" t="s">
        <v>1229</v>
      </c>
      <c r="B11" s="673" t="s">
        <v>2230</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D17" s="93" t="s">
        <v>1431</v>
      </c>
      <c r="E17" s="104" t="s">
        <v>1238</v>
      </c>
      <c r="G17" s="93" t="s">
        <v>4885</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D18" s="116" t="str">
        <f>IMLN("3+4i")</f>
        <v>1.6094379124341+0.927295218001612i</v>
      </c>
      <c r="E18" s="108" t="s">
        <v>5138</v>
      </c>
      <c r="G18" s="93" t="s">
        <v>5139</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943</v>
      </c>
      <c r="B100" s="498"/>
      <c r="C100" s="499"/>
      <c r="D100" s="87"/>
      <c r="E100" s="500" t="str">
        <f>HYPERLINK("#目录!A451","跳转回到目录页")</f>
        <v>跳转回到目录页</v>
      </c>
      <c r="F100" s="501"/>
    </row>
    <row r="101" spans="1:13" s="88" customFormat="1" ht="26.25" customHeight="1">
      <c r="A101" s="502" t="s">
        <v>1216</v>
      </c>
      <c r="B101" s="502"/>
      <c r="C101" s="503" t="s">
        <v>652</v>
      </c>
      <c r="D101" s="503"/>
      <c r="E101" s="503"/>
      <c r="F101" s="503"/>
      <c r="G101" s="503"/>
      <c r="H101" s="503"/>
      <c r="I101" s="503"/>
      <c r="J101" s="503"/>
      <c r="K101" s="503"/>
      <c r="L101" s="503"/>
      <c r="M101" s="503"/>
    </row>
    <row r="102" spans="1:13" s="88" customFormat="1" ht="16.5" customHeight="1">
      <c r="A102" s="496" t="s">
        <v>1217</v>
      </c>
      <c r="B102" s="496"/>
      <c r="C102" s="493" t="s">
        <v>5140</v>
      </c>
      <c r="D102" s="493"/>
      <c r="E102" s="493"/>
      <c r="F102" s="493"/>
      <c r="G102" s="493"/>
      <c r="H102" s="493"/>
      <c r="I102" s="493"/>
      <c r="J102" s="493"/>
      <c r="K102" s="493"/>
      <c r="L102" s="493"/>
      <c r="M102" s="493"/>
    </row>
    <row r="103" spans="1:13" s="88" customFormat="1" ht="16.5" customHeight="1">
      <c r="A103" s="496" t="s">
        <v>5786</v>
      </c>
      <c r="B103" s="496"/>
      <c r="C103" s="497" t="s">
        <v>652</v>
      </c>
      <c r="D103" s="497"/>
      <c r="E103" s="497"/>
      <c r="F103" s="497"/>
      <c r="G103" s="497"/>
      <c r="H103" s="497"/>
      <c r="I103" s="497"/>
      <c r="J103" s="497"/>
      <c r="K103" s="497"/>
      <c r="L103" s="497"/>
      <c r="M103" s="497"/>
    </row>
    <row r="104" spans="1:13" s="88" customFormat="1" ht="16.5" customHeight="1">
      <c r="A104" s="496" t="s">
        <v>1220</v>
      </c>
      <c r="B104" s="496"/>
      <c r="C104" s="493" t="s">
        <v>5141</v>
      </c>
      <c r="D104" s="493"/>
      <c r="E104" s="493"/>
      <c r="F104" s="493"/>
      <c r="G104" s="493"/>
      <c r="H104" s="493"/>
      <c r="I104" s="493"/>
      <c r="J104" s="493"/>
      <c r="K104" s="493"/>
      <c r="L104" s="493"/>
      <c r="M104" s="493"/>
    </row>
    <row r="105" spans="1:13" s="88" customFormat="1" ht="16.5" customHeight="1">
      <c r="A105" s="496" t="s">
        <v>5785</v>
      </c>
      <c r="B105" s="496"/>
      <c r="C105" s="493" t="s">
        <v>5142</v>
      </c>
      <c r="D105" s="493"/>
      <c r="E105" s="493"/>
      <c r="F105" s="493"/>
      <c r="G105" s="493"/>
      <c r="H105" s="493"/>
      <c r="I105" s="493"/>
      <c r="J105" s="493"/>
      <c r="K105" s="493"/>
      <c r="L105" s="493"/>
      <c r="M105" s="493"/>
    </row>
    <row r="106" spans="1:13" s="88" customFormat="1" ht="16.5" customHeight="1">
      <c r="A106" s="89" t="s">
        <v>1223</v>
      </c>
      <c r="B106" s="92" t="s">
        <v>5057</v>
      </c>
      <c r="C106" s="493" t="s">
        <v>5143</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5059</v>
      </c>
      <c r="C109" s="493"/>
      <c r="D109" s="493"/>
      <c r="E109" s="493"/>
      <c r="F109" s="493"/>
      <c r="G109" s="493"/>
      <c r="H109" s="493"/>
      <c r="I109" s="493"/>
      <c r="J109" s="493"/>
      <c r="K109" s="493"/>
      <c r="L109" s="493"/>
      <c r="M109" s="493"/>
    </row>
    <row r="110" spans="1:13" ht="16.5" customHeight="1">
      <c r="A110" s="89" t="s">
        <v>1229</v>
      </c>
      <c r="B110" s="673" t="s">
        <v>2230</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row>
    <row r="114" spans="1:7" ht="16.5" customHeight="1"/>
    <row r="115" spans="1:7" ht="16.5" customHeight="1"/>
    <row r="116" spans="1:7" ht="16.5" customHeight="1">
      <c r="D116" s="116" t="s">
        <v>1431</v>
      </c>
      <c r="E116" s="104" t="s">
        <v>1238</v>
      </c>
      <c r="G116" s="94" t="s">
        <v>4885</v>
      </c>
    </row>
    <row r="117" spans="1:7" ht="16.5" customHeight="1">
      <c r="D117" s="116" t="str">
        <f>IMLOG10("3+4i")</f>
        <v>0.698970004336019+0.402719196273373i</v>
      </c>
      <c r="E117" s="108" t="s">
        <v>5144</v>
      </c>
      <c r="G117" s="93" t="s">
        <v>5145</v>
      </c>
    </row>
    <row r="118" spans="1:7" ht="16.5" customHeight="1">
      <c r="B118" s="93"/>
      <c r="C118" s="93"/>
      <c r="D118" s="93"/>
    </row>
    <row r="200" spans="1:13" s="88" customFormat="1" ht="26.25" customHeight="1">
      <c r="A200" s="498" t="s">
        <v>945</v>
      </c>
      <c r="B200" s="498"/>
      <c r="C200" s="499"/>
      <c r="D200" s="87"/>
      <c r="E200" s="500" t="str">
        <f>HYPERLINK("#目录!A452","跳转回到目录页")</f>
        <v>跳转回到目录页</v>
      </c>
      <c r="F200" s="501"/>
    </row>
    <row r="201" spans="1:13" s="88" customFormat="1" ht="26.25" customHeight="1">
      <c r="A201" s="502" t="s">
        <v>1216</v>
      </c>
      <c r="B201" s="502"/>
      <c r="C201" s="503" t="s">
        <v>653</v>
      </c>
      <c r="D201" s="503"/>
      <c r="E201" s="503"/>
      <c r="F201" s="503"/>
      <c r="G201" s="503"/>
      <c r="H201" s="503"/>
      <c r="I201" s="503"/>
      <c r="J201" s="503"/>
      <c r="K201" s="503"/>
      <c r="L201" s="503"/>
      <c r="M201" s="503"/>
    </row>
    <row r="202" spans="1:13" s="88" customFormat="1" ht="16.5" customHeight="1">
      <c r="A202" s="496" t="s">
        <v>1217</v>
      </c>
      <c r="B202" s="496"/>
      <c r="C202" s="493" t="s">
        <v>5146</v>
      </c>
      <c r="D202" s="493"/>
      <c r="E202" s="493"/>
      <c r="F202" s="493"/>
      <c r="G202" s="493"/>
      <c r="H202" s="493"/>
      <c r="I202" s="493"/>
      <c r="J202" s="493"/>
      <c r="K202" s="493"/>
      <c r="L202" s="493"/>
      <c r="M202" s="493"/>
    </row>
    <row r="203" spans="1:13" s="88" customFormat="1" ht="16.5" customHeight="1">
      <c r="A203" s="496" t="s">
        <v>5786</v>
      </c>
      <c r="B203" s="496"/>
      <c r="C203" s="497" t="s">
        <v>653</v>
      </c>
      <c r="D203" s="497"/>
      <c r="E203" s="497"/>
      <c r="F203" s="497"/>
      <c r="G203" s="497"/>
      <c r="H203" s="497"/>
      <c r="I203" s="497"/>
      <c r="J203" s="497"/>
      <c r="K203" s="497"/>
      <c r="L203" s="497"/>
      <c r="M203" s="497"/>
    </row>
    <row r="204" spans="1:13" s="88" customFormat="1" ht="16.5" customHeight="1">
      <c r="A204" s="496" t="s">
        <v>1220</v>
      </c>
      <c r="B204" s="496"/>
      <c r="C204" s="493" t="s">
        <v>5147</v>
      </c>
      <c r="D204" s="493"/>
      <c r="E204" s="493"/>
      <c r="F204" s="493"/>
      <c r="G204" s="493"/>
      <c r="H204" s="493"/>
      <c r="I204" s="493"/>
      <c r="J204" s="493"/>
      <c r="K204" s="493"/>
      <c r="L204" s="493"/>
      <c r="M204" s="493"/>
    </row>
    <row r="205" spans="1:13" s="88" customFormat="1" ht="16.5" customHeight="1">
      <c r="A205" s="496" t="s">
        <v>5785</v>
      </c>
      <c r="B205" s="496"/>
      <c r="C205" s="493" t="s">
        <v>5148</v>
      </c>
      <c r="D205" s="493"/>
      <c r="E205" s="493"/>
      <c r="F205" s="493"/>
      <c r="G205" s="493"/>
      <c r="H205" s="493"/>
      <c r="I205" s="493"/>
      <c r="J205" s="493"/>
      <c r="K205" s="493"/>
      <c r="L205" s="493"/>
      <c r="M205" s="493"/>
    </row>
    <row r="206" spans="1:13" s="88" customFormat="1" ht="16.5" customHeight="1">
      <c r="A206" s="89" t="s">
        <v>1223</v>
      </c>
      <c r="B206" s="92" t="s">
        <v>5057</v>
      </c>
      <c r="C206" s="493" t="s">
        <v>5149</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t="s">
        <v>5059</v>
      </c>
      <c r="C209" s="493"/>
      <c r="D209" s="493"/>
      <c r="E209" s="493"/>
      <c r="F209" s="493"/>
      <c r="G209" s="493"/>
      <c r="H209" s="493"/>
      <c r="I209" s="493"/>
      <c r="J209" s="493"/>
      <c r="K209" s="493"/>
      <c r="L209" s="493"/>
      <c r="M209" s="493"/>
    </row>
    <row r="210" spans="1:13" ht="16.5" customHeight="1">
      <c r="A210" s="89" t="s">
        <v>1229</v>
      </c>
      <c r="B210" s="673" t="s">
        <v>2230</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row>
    <row r="214" spans="1:13" ht="16.5" customHeight="1"/>
    <row r="215" spans="1:13" ht="16.5" customHeight="1"/>
    <row r="216" spans="1:13" ht="16.5" customHeight="1">
      <c r="D216" s="94" t="s">
        <v>1431</v>
      </c>
      <c r="E216" s="104" t="s">
        <v>1238</v>
      </c>
      <c r="F216" s="93"/>
      <c r="G216" s="94" t="s">
        <v>4885</v>
      </c>
    </row>
    <row r="217" spans="1:13" ht="16.5" customHeight="1">
      <c r="D217" s="116" t="str">
        <f>IMLOG2("3+4i")</f>
        <v>2.32192809488736+1.33780421245098i</v>
      </c>
      <c r="E217" s="108" t="s">
        <v>5150</v>
      </c>
      <c r="F217" s="93"/>
      <c r="G217" s="93" t="s">
        <v>5151</v>
      </c>
    </row>
    <row r="218" spans="1:13">
      <c r="B218" s="93"/>
      <c r="C218" s="93"/>
      <c r="D218" s="93"/>
    </row>
  </sheetData>
  <mergeCells count="54">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headerFooter scaleWithDoc="0"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7"/>
  <dimension ref="A1:AV217"/>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955</v>
      </c>
      <c r="B1" s="498"/>
      <c r="C1" s="499"/>
      <c r="D1" s="87"/>
      <c r="E1" s="500" t="str">
        <f>HYPERLINK("#目录!A445","跳转回到目录页")</f>
        <v>跳转回到目录页</v>
      </c>
      <c r="F1" s="501"/>
    </row>
    <row r="2" spans="1:48" s="88" customFormat="1" ht="26.25" customHeight="1">
      <c r="A2" s="502" t="s">
        <v>1216</v>
      </c>
      <c r="B2" s="502"/>
      <c r="C2" s="503" t="s">
        <v>646</v>
      </c>
      <c r="D2" s="503"/>
      <c r="E2" s="503"/>
      <c r="F2" s="503"/>
      <c r="G2" s="503"/>
      <c r="H2" s="503"/>
      <c r="I2" s="503"/>
      <c r="J2" s="503"/>
      <c r="K2" s="503"/>
      <c r="L2" s="503"/>
      <c r="M2" s="503"/>
    </row>
    <row r="3" spans="1:48" s="88" customFormat="1" ht="16.5" customHeight="1">
      <c r="A3" s="496" t="s">
        <v>1217</v>
      </c>
      <c r="B3" s="496"/>
      <c r="C3" s="493" t="s">
        <v>5152</v>
      </c>
      <c r="D3" s="493"/>
      <c r="E3" s="493"/>
      <c r="F3" s="493"/>
      <c r="G3" s="493"/>
      <c r="H3" s="493"/>
      <c r="I3" s="493"/>
      <c r="J3" s="493"/>
      <c r="K3" s="493"/>
      <c r="L3" s="493"/>
      <c r="M3" s="493"/>
    </row>
    <row r="4" spans="1:48" s="88" customFormat="1" ht="16.5" customHeight="1">
      <c r="A4" s="496" t="s">
        <v>5786</v>
      </c>
      <c r="B4" s="496"/>
      <c r="C4" s="497" t="s">
        <v>646</v>
      </c>
      <c r="D4" s="497"/>
      <c r="E4" s="497"/>
      <c r="F4" s="497"/>
      <c r="G4" s="497"/>
      <c r="H4" s="497"/>
      <c r="I4" s="497"/>
      <c r="J4" s="497"/>
      <c r="K4" s="497"/>
      <c r="L4" s="497"/>
      <c r="M4" s="497"/>
    </row>
    <row r="5" spans="1:48" s="88" customFormat="1" ht="16.5" customHeight="1">
      <c r="A5" s="496" t="s">
        <v>1220</v>
      </c>
      <c r="B5" s="496"/>
      <c r="C5" s="493" t="s">
        <v>5153</v>
      </c>
      <c r="D5" s="493"/>
      <c r="E5" s="493"/>
      <c r="F5" s="493"/>
      <c r="G5" s="493"/>
      <c r="H5" s="493"/>
      <c r="I5" s="493"/>
      <c r="J5" s="493"/>
      <c r="K5" s="493"/>
      <c r="L5" s="493"/>
      <c r="M5" s="493"/>
    </row>
    <row r="6" spans="1:48" s="88" customFormat="1" ht="16.5" customHeight="1">
      <c r="A6" s="496" t="s">
        <v>5785</v>
      </c>
      <c r="B6" s="496"/>
      <c r="C6" s="493" t="s">
        <v>5154</v>
      </c>
      <c r="D6" s="493"/>
      <c r="E6" s="493"/>
      <c r="F6" s="493"/>
      <c r="G6" s="493"/>
      <c r="H6" s="493"/>
      <c r="I6" s="493"/>
      <c r="J6" s="493"/>
      <c r="K6" s="493"/>
      <c r="L6" s="493"/>
      <c r="M6" s="493"/>
    </row>
    <row r="7" spans="1:48" s="88" customFormat="1" ht="16.5" customHeight="1">
      <c r="A7" s="89" t="s">
        <v>1223</v>
      </c>
      <c r="B7" s="92" t="s">
        <v>5057</v>
      </c>
      <c r="C7" s="493" t="s">
        <v>5155</v>
      </c>
      <c r="D7" s="493"/>
      <c r="E7" s="493"/>
      <c r="F7" s="493"/>
      <c r="G7" s="493"/>
      <c r="H7" s="493"/>
      <c r="I7" s="493"/>
      <c r="J7" s="493"/>
      <c r="K7" s="493"/>
      <c r="L7" s="493"/>
      <c r="M7" s="493"/>
    </row>
    <row r="8" spans="1:48" s="88" customFormat="1" ht="16.5" customHeight="1">
      <c r="A8" s="89"/>
      <c r="B8" s="92"/>
      <c r="C8" s="493"/>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t="s">
        <v>5059</v>
      </c>
      <c r="C10" s="493"/>
      <c r="D10" s="493"/>
      <c r="E10" s="493"/>
      <c r="F10" s="493"/>
      <c r="G10" s="493"/>
      <c r="H10" s="493"/>
      <c r="I10" s="493"/>
      <c r="J10" s="493"/>
      <c r="K10" s="493"/>
      <c r="L10" s="493"/>
      <c r="M10" s="493"/>
    </row>
    <row r="11" spans="1:48" ht="16.5" customHeight="1">
      <c r="A11" s="89" t="s">
        <v>1229</v>
      </c>
      <c r="B11" s="673" t="s">
        <v>2230</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D16" s="94" t="s">
        <v>1431</v>
      </c>
      <c r="E16" s="104" t="s">
        <v>1238</v>
      </c>
      <c r="G16" s="94" t="s">
        <v>4885</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D17" s="116" t="str">
        <f>IMSQRT("1+i")</f>
        <v>1.09868411346781+0.455089860562227i</v>
      </c>
      <c r="E17" s="108" t="s">
        <v>5156</v>
      </c>
      <c r="G17" s="93" t="s">
        <v>5157</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953</v>
      </c>
      <c r="B100" s="498"/>
      <c r="C100" s="499"/>
      <c r="D100" s="87"/>
      <c r="E100" s="500" t="str">
        <f>HYPERLINK("#目录!A454","跳转回到目录页")</f>
        <v>跳转回到目录页</v>
      </c>
      <c r="F100" s="501"/>
    </row>
    <row r="101" spans="1:13" s="88" customFormat="1" ht="26.25" customHeight="1">
      <c r="A101" s="502" t="s">
        <v>1216</v>
      </c>
      <c r="B101" s="502"/>
      <c r="C101" s="503" t="s">
        <v>655</v>
      </c>
      <c r="D101" s="503"/>
      <c r="E101" s="503"/>
      <c r="F101" s="503"/>
      <c r="G101" s="503"/>
      <c r="H101" s="503"/>
      <c r="I101" s="503"/>
      <c r="J101" s="503"/>
      <c r="K101" s="503"/>
      <c r="L101" s="503"/>
      <c r="M101" s="503"/>
    </row>
    <row r="102" spans="1:13" s="88" customFormat="1" ht="16.5" customHeight="1">
      <c r="A102" s="496" t="s">
        <v>1217</v>
      </c>
      <c r="B102" s="496"/>
      <c r="C102" s="493" t="s">
        <v>5158</v>
      </c>
      <c r="D102" s="493"/>
      <c r="E102" s="493"/>
      <c r="F102" s="493"/>
      <c r="G102" s="493"/>
      <c r="H102" s="493"/>
      <c r="I102" s="493"/>
      <c r="J102" s="493"/>
      <c r="K102" s="493"/>
      <c r="L102" s="493"/>
      <c r="M102" s="493"/>
    </row>
    <row r="103" spans="1:13" s="88" customFormat="1" ht="16.5" customHeight="1">
      <c r="A103" s="496" t="s">
        <v>5786</v>
      </c>
      <c r="B103" s="496"/>
      <c r="C103" s="497" t="s">
        <v>655</v>
      </c>
      <c r="D103" s="497"/>
      <c r="E103" s="497"/>
      <c r="F103" s="497"/>
      <c r="G103" s="497"/>
      <c r="H103" s="497"/>
      <c r="I103" s="497"/>
      <c r="J103" s="497"/>
      <c r="K103" s="497"/>
      <c r="L103" s="497"/>
      <c r="M103" s="497"/>
    </row>
    <row r="104" spans="1:13" s="88" customFormat="1" ht="16.5" customHeight="1">
      <c r="A104" s="496" t="s">
        <v>1220</v>
      </c>
      <c r="B104" s="496"/>
      <c r="C104" s="493" t="s">
        <v>5159</v>
      </c>
      <c r="D104" s="493"/>
      <c r="E104" s="493"/>
      <c r="F104" s="493"/>
      <c r="G104" s="493"/>
      <c r="H104" s="493"/>
      <c r="I104" s="493"/>
      <c r="J104" s="493"/>
      <c r="K104" s="493"/>
      <c r="L104" s="493"/>
      <c r="M104" s="493"/>
    </row>
    <row r="105" spans="1:13" s="88" customFormat="1" ht="16.5" customHeight="1">
      <c r="A105" s="496" t="s">
        <v>5785</v>
      </c>
      <c r="B105" s="496"/>
      <c r="C105" s="493" t="s">
        <v>5160</v>
      </c>
      <c r="D105" s="493"/>
      <c r="E105" s="493"/>
      <c r="F105" s="493"/>
      <c r="G105" s="493"/>
      <c r="H105" s="493"/>
      <c r="I105" s="493"/>
      <c r="J105" s="493"/>
      <c r="K105" s="493"/>
      <c r="L105" s="493"/>
      <c r="M105" s="493"/>
    </row>
    <row r="106" spans="1:13" s="88" customFormat="1" ht="16.5" customHeight="1">
      <c r="A106" s="89" t="s">
        <v>1223</v>
      </c>
      <c r="B106" s="92" t="s">
        <v>5057</v>
      </c>
      <c r="C106" s="493" t="s">
        <v>5161</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t="s">
        <v>5059</v>
      </c>
      <c r="C109" s="493"/>
      <c r="D109" s="493"/>
      <c r="E109" s="493"/>
      <c r="F109" s="493"/>
      <c r="G109" s="493"/>
      <c r="H109" s="493"/>
      <c r="I109" s="493"/>
      <c r="J109" s="493"/>
      <c r="K109" s="493"/>
      <c r="L109" s="493"/>
      <c r="M109" s="493"/>
    </row>
    <row r="110" spans="1:13" ht="16.5" customHeight="1">
      <c r="A110" s="89" t="s">
        <v>1229</v>
      </c>
      <c r="B110" s="673" t="s">
        <v>2230</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row>
    <row r="114" spans="1:48" s="93" customFormat="1" ht="16.5" customHeight="1">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c r="A115" s="93"/>
      <c r="B115" s="93"/>
      <c r="C115" s="93"/>
      <c r="D115" s="93" t="s">
        <v>1431</v>
      </c>
      <c r="E115" s="104" t="s">
        <v>1238</v>
      </c>
      <c r="F115" s="93"/>
      <c r="G115" s="93" t="s">
        <v>4885</v>
      </c>
      <c r="H115" s="93"/>
      <c r="I115" s="93"/>
      <c r="J115" s="93"/>
      <c r="K115" s="93"/>
    </row>
    <row r="116" spans="1:48" ht="16.5" customHeight="1">
      <c r="A116" s="93"/>
      <c r="B116" s="93"/>
      <c r="C116" s="93"/>
      <c r="D116" s="116" t="str">
        <f>IMSIN("3+4i")</f>
        <v>3.85373803791938-27.0168132580039i</v>
      </c>
      <c r="E116" s="108" t="s">
        <v>5162</v>
      </c>
      <c r="F116" s="93"/>
      <c r="G116" s="93" t="s">
        <v>5163</v>
      </c>
      <c r="H116" s="93"/>
      <c r="I116" s="93"/>
      <c r="J116" s="93"/>
      <c r="K116" s="93"/>
    </row>
    <row r="117" spans="1:48" ht="16.5" customHeight="1">
      <c r="A117" s="93"/>
      <c r="B117" s="93"/>
      <c r="C117" s="93"/>
      <c r="D117" s="93"/>
      <c r="E117" s="93"/>
      <c r="F117" s="93"/>
      <c r="G117" s="93"/>
      <c r="H117" s="93"/>
      <c r="I117" s="93"/>
      <c r="J117" s="93"/>
      <c r="K117" s="93"/>
    </row>
    <row r="200" spans="1:13" s="88" customFormat="1" ht="26.25" customHeight="1">
      <c r="A200" s="498" t="s">
        <v>935</v>
      </c>
      <c r="B200" s="498"/>
      <c r="C200" s="499"/>
      <c r="D200" s="87"/>
      <c r="E200" s="500" t="str">
        <f>HYPERLINK("#目录!A455","跳转回到目录页")</f>
        <v>跳转回到目录页</v>
      </c>
      <c r="F200" s="501"/>
    </row>
    <row r="201" spans="1:13" s="88" customFormat="1" ht="26.25" customHeight="1">
      <c r="A201" s="502" t="s">
        <v>1216</v>
      </c>
      <c r="B201" s="502"/>
      <c r="C201" s="503" t="s">
        <v>656</v>
      </c>
      <c r="D201" s="503"/>
      <c r="E201" s="503"/>
      <c r="F201" s="503"/>
      <c r="G201" s="503"/>
      <c r="H201" s="503"/>
      <c r="I201" s="503"/>
      <c r="J201" s="503"/>
      <c r="K201" s="503"/>
      <c r="L201" s="503"/>
      <c r="M201" s="503"/>
    </row>
    <row r="202" spans="1:13" s="88" customFormat="1" ht="16.5" customHeight="1">
      <c r="A202" s="496" t="s">
        <v>1217</v>
      </c>
      <c r="B202" s="496"/>
      <c r="C202" s="493" t="s">
        <v>5164</v>
      </c>
      <c r="D202" s="493"/>
      <c r="E202" s="493"/>
      <c r="F202" s="493"/>
      <c r="G202" s="493"/>
      <c r="H202" s="493"/>
      <c r="I202" s="493"/>
      <c r="J202" s="493"/>
      <c r="K202" s="493"/>
      <c r="L202" s="493"/>
      <c r="M202" s="493"/>
    </row>
    <row r="203" spans="1:13" s="88" customFormat="1" ht="16.5" customHeight="1">
      <c r="A203" s="496" t="s">
        <v>5786</v>
      </c>
      <c r="B203" s="496"/>
      <c r="C203" s="497" t="s">
        <v>656</v>
      </c>
      <c r="D203" s="497"/>
      <c r="E203" s="497"/>
      <c r="F203" s="497"/>
      <c r="G203" s="497"/>
      <c r="H203" s="497"/>
      <c r="I203" s="497"/>
      <c r="J203" s="497"/>
      <c r="K203" s="497"/>
      <c r="L203" s="497"/>
      <c r="M203" s="497"/>
    </row>
    <row r="204" spans="1:13" s="88" customFormat="1" ht="16.5" customHeight="1">
      <c r="A204" s="496" t="s">
        <v>1220</v>
      </c>
      <c r="B204" s="496"/>
      <c r="C204" s="493" t="s">
        <v>5165</v>
      </c>
      <c r="D204" s="493"/>
      <c r="E204" s="493"/>
      <c r="F204" s="493"/>
      <c r="G204" s="493"/>
      <c r="H204" s="493"/>
      <c r="I204" s="493"/>
      <c r="J204" s="493"/>
      <c r="K204" s="493"/>
      <c r="L204" s="493"/>
      <c r="M204" s="493"/>
    </row>
    <row r="205" spans="1:13" s="88" customFormat="1" ht="16.5" customHeight="1">
      <c r="A205" s="496" t="s">
        <v>5785</v>
      </c>
      <c r="B205" s="496"/>
      <c r="C205" s="493" t="s">
        <v>5166</v>
      </c>
      <c r="D205" s="493"/>
      <c r="E205" s="493"/>
      <c r="F205" s="493"/>
      <c r="G205" s="493"/>
      <c r="H205" s="493"/>
      <c r="I205" s="493"/>
      <c r="J205" s="493"/>
      <c r="K205" s="493"/>
      <c r="L205" s="493"/>
      <c r="M205" s="493"/>
    </row>
    <row r="206" spans="1:13" s="88" customFormat="1" ht="16.5" customHeight="1">
      <c r="A206" s="89" t="s">
        <v>1223</v>
      </c>
      <c r="B206" s="92" t="s">
        <v>5057</v>
      </c>
      <c r="C206" s="493" t="s">
        <v>5167</v>
      </c>
      <c r="D206" s="493"/>
      <c r="E206" s="493"/>
      <c r="F206" s="493"/>
      <c r="G206" s="493"/>
      <c r="H206" s="493"/>
      <c r="I206" s="493"/>
      <c r="J206" s="493"/>
      <c r="K206" s="493"/>
      <c r="L206" s="493"/>
      <c r="M206" s="493"/>
    </row>
    <row r="207" spans="1:13" s="88" customFormat="1" ht="16.5" customHeight="1">
      <c r="A207" s="89"/>
      <c r="B207" s="92"/>
      <c r="C207" s="493"/>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48" s="88" customFormat="1" ht="16.5" customHeight="1">
      <c r="A209" s="89" t="s">
        <v>1228</v>
      </c>
      <c r="B209" s="493" t="s">
        <v>5059</v>
      </c>
      <c r="C209" s="493"/>
      <c r="D209" s="493"/>
      <c r="E209" s="493"/>
      <c r="F209" s="493"/>
      <c r="G209" s="493"/>
      <c r="H209" s="493"/>
      <c r="I209" s="493"/>
      <c r="J209" s="493"/>
      <c r="K209" s="493"/>
      <c r="L209" s="493"/>
      <c r="M209" s="493"/>
    </row>
    <row r="210" spans="1:48" ht="24.75" customHeight="1">
      <c r="A210" s="89" t="s">
        <v>1229</v>
      </c>
      <c r="B210" s="673" t="s">
        <v>5168</v>
      </c>
      <c r="C210" s="673"/>
      <c r="D210" s="673"/>
      <c r="E210" s="673"/>
      <c r="F210" s="673"/>
      <c r="G210" s="673"/>
      <c r="H210" s="673"/>
      <c r="I210" s="673"/>
      <c r="J210" s="673"/>
      <c r="K210" s="673"/>
      <c r="L210" s="673"/>
      <c r="M210" s="673"/>
    </row>
    <row r="211" spans="1:48" ht="21" customHeight="1">
      <c r="B211" s="494" t="s">
        <v>2863</v>
      </c>
      <c r="C211" s="494"/>
      <c r="D211" s="494"/>
      <c r="E211" s="494"/>
      <c r="F211" s="494"/>
      <c r="G211" s="494"/>
      <c r="H211" s="494"/>
      <c r="I211" s="494"/>
      <c r="J211" s="494"/>
      <c r="K211" s="494"/>
      <c r="L211" s="495"/>
    </row>
    <row r="212" spans="1:48" s="93" customFormat="1" ht="16.5" customHeight="1"/>
    <row r="213" spans="1:48" s="93" customFormat="1" ht="16.5" customHeight="1">
      <c r="A213" s="94" t="s">
        <v>1232</v>
      </c>
      <c r="B213" s="93" t="s">
        <v>1773</v>
      </c>
      <c r="E213" s="4"/>
      <c r="F213" s="4"/>
      <c r="G213" s="4"/>
      <c r="H213" s="4"/>
    </row>
    <row r="214" spans="1:48" s="93" customFormat="1" ht="16.5" customHeight="1">
      <c r="E214" s="4"/>
      <c r="F214" s="4"/>
      <c r="G214" s="4"/>
      <c r="H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spans="1:48" ht="16.5" customHeight="1">
      <c r="E215" s="4" t="s">
        <v>3592</v>
      </c>
    </row>
    <row r="216" spans="1:48" ht="16.5" customHeight="1">
      <c r="D216" s="94" t="s">
        <v>1431</v>
      </c>
      <c r="E216" s="104" t="s">
        <v>1238</v>
      </c>
      <c r="G216" s="94" t="s">
        <v>4885</v>
      </c>
    </row>
    <row r="217" spans="1:48" ht="16.5" customHeight="1">
      <c r="D217" s="116" t="str">
        <f>IMCOS("1+i")</f>
        <v>0.833730025131149-0.988897705762865i</v>
      </c>
      <c r="E217" s="108" t="s">
        <v>5169</v>
      </c>
      <c r="G217" s="93" t="s">
        <v>5170</v>
      </c>
    </row>
  </sheetData>
  <mergeCells count="54">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s>
  <phoneticPr fontId="2" type="noConversion"/>
  <pageMargins left="0.75" right="0.75" top="1" bottom="1" header="0.5" footer="0.5"/>
  <headerFooter scaleWithDoc="0"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8"/>
  <dimension ref="A1:AV319"/>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745</v>
      </c>
      <c r="B1" s="498"/>
      <c r="C1" s="499"/>
      <c r="D1" s="87"/>
      <c r="E1" s="500" t="str">
        <f>HYPERLINK("#目录!A457","跳转回到目录页")</f>
        <v>跳转回到目录页</v>
      </c>
      <c r="F1" s="501"/>
    </row>
    <row r="2" spans="1:48" s="88" customFormat="1" ht="26.25" customHeight="1">
      <c r="A2" s="502" t="s">
        <v>1216</v>
      </c>
      <c r="B2" s="502"/>
      <c r="C2" s="503" t="s">
        <v>5171</v>
      </c>
      <c r="D2" s="503"/>
      <c r="E2" s="503"/>
      <c r="F2" s="503"/>
      <c r="G2" s="503"/>
      <c r="H2" s="503"/>
      <c r="I2" s="503"/>
      <c r="J2" s="503"/>
      <c r="K2" s="503"/>
      <c r="L2" s="503"/>
      <c r="M2" s="503"/>
    </row>
    <row r="3" spans="1:48" s="88" customFormat="1" ht="16.5" customHeight="1">
      <c r="A3" s="496" t="s">
        <v>1217</v>
      </c>
      <c r="B3" s="496"/>
      <c r="C3" s="493" t="s">
        <v>5172</v>
      </c>
      <c r="D3" s="493"/>
      <c r="E3" s="493"/>
      <c r="F3" s="493"/>
      <c r="G3" s="493"/>
      <c r="H3" s="493"/>
      <c r="I3" s="493"/>
      <c r="J3" s="493"/>
      <c r="K3" s="493"/>
      <c r="L3" s="493"/>
      <c r="M3" s="493"/>
    </row>
    <row r="4" spans="1:48" s="88" customFormat="1" ht="16.5" customHeight="1">
      <c r="A4" s="496" t="s">
        <v>5786</v>
      </c>
      <c r="B4" s="496"/>
      <c r="C4" s="497" t="s">
        <v>5172</v>
      </c>
      <c r="D4" s="497"/>
      <c r="E4" s="497"/>
      <c r="F4" s="497"/>
      <c r="G4" s="497"/>
      <c r="H4" s="497"/>
      <c r="I4" s="497"/>
      <c r="J4" s="497"/>
      <c r="K4" s="497"/>
      <c r="L4" s="497"/>
      <c r="M4" s="497"/>
    </row>
    <row r="5" spans="1:48" s="88" customFormat="1" ht="16.5" customHeight="1">
      <c r="A5" s="496" t="s">
        <v>1220</v>
      </c>
      <c r="B5" s="496"/>
      <c r="C5" s="493" t="s">
        <v>5173</v>
      </c>
      <c r="D5" s="493"/>
      <c r="E5" s="493"/>
      <c r="F5" s="493"/>
      <c r="G5" s="493"/>
      <c r="H5" s="493"/>
      <c r="I5" s="493"/>
      <c r="J5" s="493"/>
      <c r="K5" s="493"/>
      <c r="L5" s="493"/>
      <c r="M5" s="493"/>
    </row>
    <row r="6" spans="1:48" s="88" customFormat="1" ht="16.5" customHeight="1">
      <c r="A6" s="496" t="s">
        <v>5785</v>
      </c>
      <c r="B6" s="496"/>
      <c r="C6" s="493" t="s">
        <v>5174</v>
      </c>
      <c r="D6" s="493"/>
      <c r="E6" s="493"/>
      <c r="F6" s="493"/>
      <c r="G6" s="493"/>
      <c r="H6" s="493"/>
      <c r="I6" s="493"/>
      <c r="J6" s="493"/>
      <c r="K6" s="493"/>
      <c r="L6" s="493"/>
      <c r="M6" s="493"/>
    </row>
    <row r="7" spans="1:48" s="88" customFormat="1" ht="16.5" customHeight="1">
      <c r="A7" s="89" t="s">
        <v>1223</v>
      </c>
      <c r="B7" s="92" t="s">
        <v>2418</v>
      </c>
      <c r="C7" s="493" t="s">
        <v>4176</v>
      </c>
      <c r="D7" s="493"/>
      <c r="E7" s="493"/>
      <c r="F7" s="493"/>
      <c r="G7" s="493"/>
      <c r="H7" s="493"/>
      <c r="I7" s="493"/>
      <c r="J7" s="493"/>
      <c r="K7" s="493"/>
      <c r="L7" s="493"/>
      <c r="M7" s="493"/>
    </row>
    <row r="8" spans="1:48" s="88" customFormat="1" ht="16.5" customHeight="1">
      <c r="A8" s="89"/>
      <c r="B8" s="92" t="s">
        <v>687</v>
      </c>
      <c r="C8" s="493" t="s">
        <v>5175</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49.5" customHeight="1">
      <c r="A11" s="89" t="s">
        <v>1229</v>
      </c>
      <c r="B11" s="673" t="s">
        <v>5176</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1431</v>
      </c>
      <c r="C17" s="104" t="s">
        <v>1238</v>
      </c>
      <c r="E17" s="94" t="s">
        <v>27</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f>BESSELJ(1.9,2)</f>
        <v>0.3299258286697852</v>
      </c>
      <c r="C18" s="108" t="s">
        <v>5177</v>
      </c>
      <c r="E18" s="93" t="s">
        <v>5178</v>
      </c>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748</v>
      </c>
      <c r="B100" s="498"/>
      <c r="C100" s="499"/>
      <c r="D100" s="87"/>
      <c r="E100" s="500" t="str">
        <f>HYPERLINK("#目录!A458","跳转回到目录页")</f>
        <v>跳转回到目录页</v>
      </c>
      <c r="F100" s="501"/>
    </row>
    <row r="101" spans="1:13" s="88" customFormat="1" ht="26.25" customHeight="1">
      <c r="A101" s="502" t="s">
        <v>1216</v>
      </c>
      <c r="B101" s="502"/>
      <c r="C101" s="503" t="s">
        <v>5179</v>
      </c>
      <c r="D101" s="503"/>
      <c r="E101" s="503"/>
      <c r="F101" s="503"/>
      <c r="G101" s="503"/>
      <c r="H101" s="503"/>
      <c r="I101" s="503"/>
      <c r="J101" s="503"/>
      <c r="K101" s="503"/>
      <c r="L101" s="503"/>
      <c r="M101" s="503"/>
    </row>
    <row r="102" spans="1:13" s="88" customFormat="1" ht="16.5" customHeight="1">
      <c r="A102" s="496" t="s">
        <v>1217</v>
      </c>
      <c r="B102" s="496"/>
      <c r="C102" s="493" t="s">
        <v>5180</v>
      </c>
      <c r="D102" s="493"/>
      <c r="E102" s="493"/>
      <c r="F102" s="493"/>
      <c r="G102" s="493"/>
      <c r="H102" s="493"/>
      <c r="I102" s="493"/>
      <c r="J102" s="493"/>
      <c r="K102" s="493"/>
      <c r="L102" s="493"/>
      <c r="M102" s="493"/>
    </row>
    <row r="103" spans="1:13" s="88" customFormat="1" ht="16.5" customHeight="1">
      <c r="A103" s="496" t="s">
        <v>5786</v>
      </c>
      <c r="B103" s="496"/>
      <c r="C103" s="497" t="s">
        <v>5172</v>
      </c>
      <c r="D103" s="497"/>
      <c r="E103" s="497"/>
      <c r="F103" s="497"/>
      <c r="G103" s="497"/>
      <c r="H103" s="497"/>
      <c r="I103" s="497"/>
      <c r="J103" s="497"/>
      <c r="K103" s="497"/>
      <c r="L103" s="497"/>
      <c r="M103" s="497"/>
    </row>
    <row r="104" spans="1:13" s="88" customFormat="1" ht="16.5" customHeight="1">
      <c r="A104" s="496" t="s">
        <v>1220</v>
      </c>
      <c r="B104" s="496"/>
      <c r="C104" s="493" t="s">
        <v>5181</v>
      </c>
      <c r="D104" s="493"/>
      <c r="E104" s="493"/>
      <c r="F104" s="493"/>
      <c r="G104" s="493"/>
      <c r="H104" s="493"/>
      <c r="I104" s="493"/>
      <c r="J104" s="493"/>
      <c r="K104" s="493"/>
      <c r="L104" s="493"/>
      <c r="M104" s="493"/>
    </row>
    <row r="105" spans="1:13" s="88" customFormat="1" ht="16.5" customHeight="1">
      <c r="A105" s="496" t="s">
        <v>5785</v>
      </c>
      <c r="B105" s="496"/>
      <c r="C105" s="493" t="s">
        <v>5182</v>
      </c>
      <c r="D105" s="493"/>
      <c r="E105" s="493"/>
      <c r="F105" s="493"/>
      <c r="G105" s="493"/>
      <c r="H105" s="493"/>
      <c r="I105" s="493"/>
      <c r="J105" s="493"/>
      <c r="K105" s="493"/>
      <c r="L105" s="493"/>
      <c r="M105" s="493"/>
    </row>
    <row r="106" spans="1:13" s="88" customFormat="1" ht="16.5" customHeight="1">
      <c r="A106" s="89" t="s">
        <v>1223</v>
      </c>
      <c r="B106" s="92" t="s">
        <v>2418</v>
      </c>
      <c r="C106" s="493" t="s">
        <v>4176</v>
      </c>
      <c r="D106" s="493"/>
      <c r="E106" s="493"/>
      <c r="F106" s="493"/>
      <c r="G106" s="493"/>
      <c r="H106" s="493"/>
      <c r="I106" s="493"/>
      <c r="J106" s="493"/>
      <c r="K106" s="493"/>
      <c r="L106" s="493"/>
      <c r="M106" s="493"/>
    </row>
    <row r="107" spans="1:13" s="88" customFormat="1" ht="16.5" customHeight="1">
      <c r="A107" s="89"/>
      <c r="B107" s="92" t="s">
        <v>687</v>
      </c>
      <c r="C107" s="493" t="s">
        <v>5183</v>
      </c>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49.5" customHeight="1">
      <c r="A110" s="89" t="s">
        <v>1229</v>
      </c>
      <c r="B110" s="673" t="s">
        <v>5184</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7" s="93" customFormat="1" ht="16.5" customHeight="1">
      <c r="A113" s="94" t="s">
        <v>1232</v>
      </c>
      <c r="B113" s="93" t="s">
        <v>1773</v>
      </c>
      <c r="E113" s="4"/>
      <c r="F113" s="4"/>
      <c r="G113" s="4"/>
    </row>
    <row r="114" spans="1:7" ht="16.5" customHeight="1"/>
    <row r="115" spans="1:7" ht="16.5" customHeight="1"/>
    <row r="116" spans="1:7" ht="16.5" customHeight="1">
      <c r="B116" s="94" t="s">
        <v>1431</v>
      </c>
      <c r="C116" s="104" t="s">
        <v>1238</v>
      </c>
      <c r="D116" s="94"/>
      <c r="E116" s="94" t="s">
        <v>4885</v>
      </c>
    </row>
    <row r="117" spans="1:7" ht="16.5" customHeight="1">
      <c r="B117" s="93">
        <f>BESSELY(2.5,1)</f>
        <v>0.14591813750831284</v>
      </c>
      <c r="C117" s="108" t="s">
        <v>5185</v>
      </c>
      <c r="D117" s="93"/>
      <c r="E117" s="93" t="s">
        <v>5186</v>
      </c>
    </row>
    <row r="200" spans="1:13" s="88" customFormat="1" ht="26.25" customHeight="1">
      <c r="A200" s="498" t="s">
        <v>658</v>
      </c>
      <c r="B200" s="498"/>
      <c r="C200" s="499"/>
      <c r="D200" s="87"/>
      <c r="E200" s="500" t="str">
        <f>HYPERLINK("#目录!A459","跳转回到目录页")</f>
        <v>跳转回到目录页</v>
      </c>
      <c r="F200" s="501"/>
    </row>
    <row r="201" spans="1:13" s="88" customFormat="1" ht="26.25" customHeight="1">
      <c r="A201" s="502" t="s">
        <v>1216</v>
      </c>
      <c r="B201" s="502"/>
      <c r="C201" s="503" t="s">
        <v>5187</v>
      </c>
      <c r="D201" s="503"/>
      <c r="E201" s="503"/>
      <c r="F201" s="503"/>
      <c r="G201" s="503"/>
      <c r="H201" s="503"/>
      <c r="I201" s="503"/>
      <c r="J201" s="503"/>
      <c r="K201" s="503"/>
      <c r="L201" s="503"/>
      <c r="M201" s="503"/>
    </row>
    <row r="202" spans="1:13" s="88" customFormat="1" ht="16.5" customHeight="1">
      <c r="A202" s="496" t="s">
        <v>1217</v>
      </c>
      <c r="B202" s="496"/>
      <c r="C202" s="493" t="s">
        <v>5188</v>
      </c>
      <c r="D202" s="493"/>
      <c r="E202" s="493"/>
      <c r="F202" s="493"/>
      <c r="G202" s="493"/>
      <c r="H202" s="493"/>
      <c r="I202" s="493"/>
      <c r="J202" s="493"/>
      <c r="K202" s="493"/>
      <c r="L202" s="493"/>
      <c r="M202" s="493"/>
    </row>
    <row r="203" spans="1:13" s="88" customFormat="1" ht="16.5" customHeight="1">
      <c r="A203" s="496" t="s">
        <v>5786</v>
      </c>
      <c r="B203" s="496"/>
      <c r="C203" s="497" t="s">
        <v>5188</v>
      </c>
      <c r="D203" s="497"/>
      <c r="E203" s="497"/>
      <c r="F203" s="497"/>
      <c r="G203" s="497"/>
      <c r="H203" s="497"/>
      <c r="I203" s="497"/>
      <c r="J203" s="497"/>
      <c r="K203" s="497"/>
      <c r="L203" s="497"/>
      <c r="M203" s="497"/>
    </row>
    <row r="204" spans="1:13" s="88" customFormat="1" ht="16.5" customHeight="1">
      <c r="A204" s="496" t="s">
        <v>1220</v>
      </c>
      <c r="B204" s="496"/>
      <c r="C204" s="493" t="s">
        <v>5189</v>
      </c>
      <c r="D204" s="493"/>
      <c r="E204" s="493"/>
      <c r="F204" s="493"/>
      <c r="G204" s="493"/>
      <c r="H204" s="493"/>
      <c r="I204" s="493"/>
      <c r="J204" s="493"/>
      <c r="K204" s="493"/>
      <c r="L204" s="493"/>
      <c r="M204" s="493"/>
    </row>
    <row r="205" spans="1:13" s="88" customFormat="1" ht="16.5" customHeight="1">
      <c r="A205" s="496" t="s">
        <v>5785</v>
      </c>
      <c r="B205" s="496"/>
      <c r="C205" s="493" t="s">
        <v>5190</v>
      </c>
      <c r="D205" s="493"/>
      <c r="E205" s="493"/>
      <c r="F205" s="493"/>
      <c r="G205" s="493"/>
      <c r="H205" s="493"/>
      <c r="I205" s="493"/>
      <c r="J205" s="493"/>
      <c r="K205" s="493"/>
      <c r="L205" s="493"/>
      <c r="M205" s="493"/>
    </row>
    <row r="206" spans="1:13" s="88" customFormat="1" ht="16.5" customHeight="1">
      <c r="A206" s="89" t="s">
        <v>1223</v>
      </c>
      <c r="B206" s="92" t="s">
        <v>2418</v>
      </c>
      <c r="C206" s="493" t="s">
        <v>4176</v>
      </c>
      <c r="D206" s="493"/>
      <c r="E206" s="493"/>
      <c r="F206" s="493"/>
      <c r="G206" s="493"/>
      <c r="H206" s="493"/>
      <c r="I206" s="493"/>
      <c r="J206" s="493"/>
      <c r="K206" s="493"/>
      <c r="L206" s="493"/>
      <c r="M206" s="493"/>
    </row>
    <row r="207" spans="1:13" s="88" customFormat="1" ht="16.5" customHeight="1">
      <c r="A207" s="89"/>
      <c r="B207" s="92" t="s">
        <v>687</v>
      </c>
      <c r="C207" s="493" t="s">
        <v>5175</v>
      </c>
      <c r="D207" s="493"/>
      <c r="E207" s="493"/>
      <c r="F207" s="493"/>
      <c r="G207" s="493"/>
      <c r="H207" s="493"/>
      <c r="I207" s="493"/>
      <c r="J207" s="493"/>
      <c r="K207" s="493"/>
      <c r="L207" s="493"/>
      <c r="M207" s="493"/>
    </row>
    <row r="208" spans="1:13" s="88" customFormat="1" ht="16.5" customHeight="1">
      <c r="A208" s="89"/>
      <c r="B208" s="90"/>
      <c r="C208" s="493"/>
      <c r="D208" s="493"/>
      <c r="E208" s="493"/>
      <c r="F208" s="493"/>
      <c r="G208" s="493"/>
      <c r="H208" s="493"/>
      <c r="I208" s="493"/>
      <c r="J208" s="493"/>
      <c r="K208" s="493"/>
      <c r="L208" s="493"/>
      <c r="M208" s="493"/>
    </row>
    <row r="209" spans="1:13" s="88" customFormat="1" ht="16.5" customHeight="1">
      <c r="A209" s="89" t="s">
        <v>1228</v>
      </c>
      <c r="B209" s="493"/>
      <c r="C209" s="493"/>
      <c r="D209" s="493"/>
      <c r="E209" s="493"/>
      <c r="F209" s="493"/>
      <c r="G209" s="493"/>
      <c r="H209" s="493"/>
      <c r="I209" s="493"/>
      <c r="J209" s="493"/>
      <c r="K209" s="493"/>
      <c r="L209" s="493"/>
      <c r="M209" s="493"/>
    </row>
    <row r="210" spans="1:13" ht="49.5" customHeight="1">
      <c r="A210" s="89" t="s">
        <v>1229</v>
      </c>
      <c r="B210" s="673" t="s">
        <v>5191</v>
      </c>
      <c r="C210" s="673"/>
      <c r="D210" s="673"/>
      <c r="E210" s="673"/>
      <c r="F210" s="673"/>
      <c r="G210" s="673"/>
      <c r="H210" s="673"/>
      <c r="I210" s="673"/>
      <c r="J210" s="673"/>
      <c r="K210" s="673"/>
      <c r="L210" s="673"/>
      <c r="M210" s="673"/>
    </row>
    <row r="211" spans="1:13" ht="21" customHeight="1">
      <c r="B211" s="494" t="s">
        <v>2863</v>
      </c>
      <c r="C211" s="494"/>
      <c r="D211" s="494"/>
      <c r="E211" s="494"/>
      <c r="F211" s="494"/>
      <c r="G211" s="494"/>
      <c r="H211" s="494"/>
      <c r="I211" s="494"/>
      <c r="J211" s="494"/>
      <c r="K211" s="494"/>
      <c r="L211" s="495"/>
    </row>
    <row r="212" spans="1:13" s="93" customFormat="1" ht="16.5" customHeight="1"/>
    <row r="213" spans="1:13" s="93" customFormat="1" ht="16.5" customHeight="1">
      <c r="A213" s="94" t="s">
        <v>1232</v>
      </c>
      <c r="B213" s="93" t="s">
        <v>1773</v>
      </c>
      <c r="F213" s="4"/>
      <c r="G213" s="4"/>
      <c r="H213" s="4"/>
      <c r="I213" s="4"/>
      <c r="J213" s="4"/>
    </row>
    <row r="214" spans="1:13" ht="16.5" customHeight="1"/>
    <row r="215" spans="1:13" ht="16.5" customHeight="1"/>
    <row r="216" spans="1:13" ht="16.5" customHeight="1">
      <c r="B216" s="94" t="s">
        <v>1431</v>
      </c>
      <c r="C216" s="104" t="s">
        <v>1238</v>
      </c>
      <c r="E216" s="94" t="s">
        <v>4885</v>
      </c>
    </row>
    <row r="217" spans="1:13" ht="16.5" customHeight="1">
      <c r="B217" s="93">
        <f>BESSELI(1.5,1)</f>
        <v>0.98166642847516605</v>
      </c>
      <c r="C217" s="108" t="s">
        <v>5192</v>
      </c>
      <c r="E217" s="93" t="s">
        <v>5193</v>
      </c>
    </row>
    <row r="218" spans="1:13" ht="16.5" customHeight="1"/>
    <row r="300" spans="1:13" s="88" customFormat="1" ht="26.25" customHeight="1">
      <c r="A300" s="498" t="s">
        <v>747</v>
      </c>
      <c r="B300" s="498"/>
      <c r="C300" s="499"/>
      <c r="D300" s="87"/>
      <c r="E300" s="500" t="str">
        <f>HYPERLINK("#目录!A460","跳转回到目录页")</f>
        <v>跳转回到目录页</v>
      </c>
      <c r="F300" s="501"/>
    </row>
    <row r="301" spans="1:13" s="88" customFormat="1" ht="26.25" customHeight="1">
      <c r="A301" s="502" t="s">
        <v>1216</v>
      </c>
      <c r="B301" s="502"/>
      <c r="C301" s="503" t="s">
        <v>5194</v>
      </c>
      <c r="D301" s="503"/>
      <c r="E301" s="503"/>
      <c r="F301" s="503"/>
      <c r="G301" s="503"/>
      <c r="H301" s="503"/>
      <c r="I301" s="503"/>
      <c r="J301" s="503"/>
      <c r="K301" s="503"/>
      <c r="L301" s="503"/>
      <c r="M301" s="503"/>
    </row>
    <row r="302" spans="1:13" s="88" customFormat="1" ht="16.5" customHeight="1">
      <c r="A302" s="496" t="s">
        <v>1217</v>
      </c>
      <c r="B302" s="496"/>
      <c r="C302" s="493" t="s">
        <v>5188</v>
      </c>
      <c r="D302" s="493"/>
      <c r="E302" s="493"/>
      <c r="F302" s="493"/>
      <c r="G302" s="493"/>
      <c r="H302" s="493"/>
      <c r="I302" s="493"/>
      <c r="J302" s="493"/>
      <c r="K302" s="493"/>
      <c r="L302" s="493"/>
      <c r="M302" s="493"/>
    </row>
    <row r="303" spans="1:13" s="88" customFormat="1" ht="16.5" customHeight="1">
      <c r="A303" s="496" t="s">
        <v>5786</v>
      </c>
      <c r="B303" s="496"/>
      <c r="C303" s="497" t="s">
        <v>5188</v>
      </c>
      <c r="D303" s="497"/>
      <c r="E303" s="497"/>
      <c r="F303" s="497"/>
      <c r="G303" s="497"/>
      <c r="H303" s="497"/>
      <c r="I303" s="497"/>
      <c r="J303" s="497"/>
      <c r="K303" s="497"/>
      <c r="L303" s="497"/>
      <c r="M303" s="497"/>
    </row>
    <row r="304" spans="1:13" s="88" customFormat="1" ht="16.5" customHeight="1">
      <c r="A304" s="496" t="s">
        <v>1220</v>
      </c>
      <c r="B304" s="496"/>
      <c r="C304" s="493" t="s">
        <v>5195</v>
      </c>
      <c r="D304" s="493"/>
      <c r="E304" s="493"/>
      <c r="F304" s="493"/>
      <c r="G304" s="493"/>
      <c r="H304" s="493"/>
      <c r="I304" s="493"/>
      <c r="J304" s="493"/>
      <c r="K304" s="493"/>
      <c r="L304" s="493"/>
      <c r="M304" s="493"/>
    </row>
    <row r="305" spans="1:13" s="88" customFormat="1" ht="16.5" customHeight="1">
      <c r="A305" s="496" t="s">
        <v>5785</v>
      </c>
      <c r="B305" s="496"/>
      <c r="C305" s="493" t="s">
        <v>5196</v>
      </c>
      <c r="D305" s="493"/>
      <c r="E305" s="493"/>
      <c r="F305" s="493"/>
      <c r="G305" s="493"/>
      <c r="H305" s="493"/>
      <c r="I305" s="493"/>
      <c r="J305" s="493"/>
      <c r="K305" s="493"/>
      <c r="L305" s="493"/>
      <c r="M305" s="493"/>
    </row>
    <row r="306" spans="1:13" s="88" customFormat="1" ht="16.5" customHeight="1">
      <c r="A306" s="89" t="s">
        <v>1223</v>
      </c>
      <c r="B306" s="92" t="s">
        <v>2418</v>
      </c>
      <c r="C306" s="493" t="s">
        <v>4176</v>
      </c>
      <c r="D306" s="493"/>
      <c r="E306" s="493"/>
      <c r="F306" s="493"/>
      <c r="G306" s="493"/>
      <c r="H306" s="493"/>
      <c r="I306" s="493"/>
      <c r="J306" s="493"/>
      <c r="K306" s="493"/>
      <c r="L306" s="493"/>
      <c r="M306" s="493"/>
    </row>
    <row r="307" spans="1:13" s="88" customFormat="1" ht="16.5" customHeight="1">
      <c r="A307" s="89"/>
      <c r="B307" s="92" t="s">
        <v>687</v>
      </c>
      <c r="C307" s="493" t="s">
        <v>5175</v>
      </c>
      <c r="D307" s="493"/>
      <c r="E307" s="493"/>
      <c r="F307" s="493"/>
      <c r="G307" s="493"/>
      <c r="H307" s="493"/>
      <c r="I307" s="493"/>
      <c r="J307" s="493"/>
      <c r="K307" s="493"/>
      <c r="L307" s="493"/>
      <c r="M307" s="493"/>
    </row>
    <row r="308" spans="1:13" s="88" customFormat="1" ht="16.5" customHeight="1">
      <c r="A308" s="89"/>
      <c r="B308" s="90"/>
      <c r="C308" s="493"/>
      <c r="D308" s="493"/>
      <c r="E308" s="493"/>
      <c r="F308" s="493"/>
      <c r="G308" s="493"/>
      <c r="H308" s="493"/>
      <c r="I308" s="493"/>
      <c r="J308" s="493"/>
      <c r="K308" s="493"/>
      <c r="L308" s="493"/>
      <c r="M308" s="493"/>
    </row>
    <row r="309" spans="1:13" s="88" customFormat="1" ht="16.5" customHeight="1">
      <c r="A309" s="89" t="s">
        <v>1228</v>
      </c>
      <c r="B309" s="493"/>
      <c r="C309" s="493"/>
      <c r="D309" s="493"/>
      <c r="E309" s="493"/>
      <c r="F309" s="493"/>
      <c r="G309" s="493"/>
      <c r="H309" s="493"/>
      <c r="I309" s="493"/>
      <c r="J309" s="493"/>
      <c r="K309" s="493"/>
      <c r="L309" s="493"/>
      <c r="M309" s="493"/>
    </row>
    <row r="310" spans="1:13" ht="50.25" customHeight="1">
      <c r="A310" s="89" t="s">
        <v>1229</v>
      </c>
      <c r="B310" s="673" t="s">
        <v>5197</v>
      </c>
      <c r="C310" s="673"/>
      <c r="D310" s="673"/>
      <c r="E310" s="673"/>
      <c r="F310" s="673"/>
      <c r="G310" s="673"/>
      <c r="H310" s="673"/>
      <c r="I310" s="673"/>
      <c r="J310" s="673"/>
      <c r="K310" s="673"/>
      <c r="L310" s="673"/>
      <c r="M310" s="673"/>
    </row>
    <row r="311" spans="1:13" ht="21" customHeight="1">
      <c r="B311" s="494" t="s">
        <v>2863</v>
      </c>
      <c r="C311" s="494"/>
      <c r="D311" s="494"/>
      <c r="E311" s="494"/>
      <c r="F311" s="494"/>
      <c r="G311" s="494"/>
      <c r="H311" s="494"/>
      <c r="I311" s="494"/>
      <c r="J311" s="494"/>
      <c r="K311" s="494"/>
      <c r="L311" s="495"/>
    </row>
    <row r="312" spans="1:13" s="93" customFormat="1" ht="16.5" customHeight="1"/>
    <row r="313" spans="1:13" s="93" customFormat="1" ht="16.5" customHeight="1">
      <c r="A313" s="94" t="s">
        <v>1232</v>
      </c>
      <c r="B313" s="93" t="s">
        <v>1773</v>
      </c>
    </row>
    <row r="314" spans="1:13" ht="16.5" customHeight="1"/>
    <row r="315" spans="1:13" ht="16.5" customHeight="1"/>
    <row r="316" spans="1:13" ht="16.5" customHeight="1">
      <c r="B316" s="94" t="s">
        <v>1431</v>
      </c>
      <c r="C316" s="104" t="s">
        <v>1238</v>
      </c>
      <c r="D316" s="93"/>
      <c r="E316" s="94" t="s">
        <v>4885</v>
      </c>
      <c r="G316" s="93"/>
      <c r="H316" s="93"/>
      <c r="I316" s="93"/>
    </row>
    <row r="317" spans="1:13" ht="16.5" customHeight="1">
      <c r="B317" s="93">
        <f>BESSELK(1.5,1)</f>
        <v>0.27738780363225868</v>
      </c>
      <c r="C317" s="108" t="s">
        <v>5198</v>
      </c>
      <c r="D317" s="93"/>
      <c r="E317" s="93" t="s">
        <v>5199</v>
      </c>
      <c r="G317" s="93"/>
      <c r="H317" s="93"/>
      <c r="I317" s="93"/>
    </row>
    <row r="318" spans="1:13" ht="16.5" customHeight="1">
      <c r="B318" s="93"/>
      <c r="D318" s="93"/>
      <c r="E318" s="93"/>
      <c r="F318" s="93"/>
      <c r="G318" s="93"/>
      <c r="H318" s="93"/>
      <c r="I318" s="93"/>
    </row>
    <row r="319" spans="1:13">
      <c r="B319" s="93"/>
      <c r="C319" s="93"/>
      <c r="D319" s="93"/>
      <c r="E319" s="93"/>
      <c r="F319" s="93"/>
      <c r="G319" s="93"/>
      <c r="H319" s="93"/>
      <c r="I319" s="93"/>
    </row>
  </sheetData>
  <mergeCells count="72">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 ref="A200:C200"/>
    <mergeCell ref="E200:F200"/>
    <mergeCell ref="A201:B201"/>
    <mergeCell ref="C201:M201"/>
    <mergeCell ref="A202:B202"/>
    <mergeCell ref="C202:M202"/>
    <mergeCell ref="B211:L211"/>
    <mergeCell ref="A203:B203"/>
    <mergeCell ref="C203:M203"/>
    <mergeCell ref="A204:B204"/>
    <mergeCell ref="C204:M204"/>
    <mergeCell ref="A205:B205"/>
    <mergeCell ref="C205:M205"/>
    <mergeCell ref="C206:M206"/>
    <mergeCell ref="C207:M207"/>
    <mergeCell ref="C208:M208"/>
    <mergeCell ref="B209:M209"/>
    <mergeCell ref="B210:M210"/>
    <mergeCell ref="A300:C300"/>
    <mergeCell ref="E300:F300"/>
    <mergeCell ref="A301:B301"/>
    <mergeCell ref="C301:M301"/>
    <mergeCell ref="A302:B302"/>
    <mergeCell ref="C302:M302"/>
    <mergeCell ref="B311:L311"/>
    <mergeCell ref="A303:B303"/>
    <mergeCell ref="C303:M303"/>
    <mergeCell ref="A304:B304"/>
    <mergeCell ref="C304:M304"/>
    <mergeCell ref="A305:B305"/>
    <mergeCell ref="C305:M305"/>
    <mergeCell ref="C306:M306"/>
    <mergeCell ref="C307:M307"/>
    <mergeCell ref="C308:M308"/>
    <mergeCell ref="B309:M309"/>
    <mergeCell ref="B310:M310"/>
  </mergeCells>
  <phoneticPr fontId="2" type="noConversion"/>
  <pageMargins left="0.75" right="0.75" top="1" bottom="1" header="0.5" footer="0.5"/>
  <pageSetup paperSize="9" orientation="portrait" horizontalDpi="0" verticalDpi="0"/>
  <headerFooter scaleWithDoc="0"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9"/>
  <dimension ref="A1:AV118"/>
  <sheetViews>
    <sheetView workbookViewId="0">
      <selection activeCell="B7" sqref="B7:C7"/>
    </sheetView>
  </sheetViews>
  <sheetFormatPr defaultColWidth="9" defaultRowHeight="17.399999999999999"/>
  <cols>
    <col min="1" max="3" width="9.5" style="4" customWidth="1"/>
    <col min="4" max="12" width="9.19921875" style="4" customWidth="1"/>
    <col min="13" max="13" width="9.296875" style="4" customWidth="1"/>
    <col min="14" max="16384" width="9" style="4"/>
  </cols>
  <sheetData>
    <row r="1" spans="1:48" s="88" customFormat="1" ht="26.25" customHeight="1">
      <c r="A1" s="498" t="s">
        <v>864</v>
      </c>
      <c r="B1" s="498"/>
      <c r="C1" s="499"/>
      <c r="D1" s="87"/>
      <c r="E1" s="500" t="str">
        <f>HYPERLINK("#目录!A462","跳转回到目录页")</f>
        <v>跳转回到目录页</v>
      </c>
      <c r="F1" s="501"/>
    </row>
    <row r="2" spans="1:48" s="88" customFormat="1" ht="26.25" customHeight="1">
      <c r="A2" s="502" t="s">
        <v>1216</v>
      </c>
      <c r="B2" s="502"/>
      <c r="C2" s="503" t="s">
        <v>660</v>
      </c>
      <c r="D2" s="503"/>
      <c r="E2" s="503"/>
      <c r="F2" s="503"/>
      <c r="G2" s="503"/>
      <c r="H2" s="503"/>
      <c r="I2" s="503"/>
      <c r="J2" s="503"/>
      <c r="K2" s="503"/>
      <c r="L2" s="503"/>
      <c r="M2" s="503"/>
    </row>
    <row r="3" spans="1:48" s="88" customFormat="1" ht="16.5" customHeight="1">
      <c r="A3" s="496" t="s">
        <v>1217</v>
      </c>
      <c r="B3" s="496"/>
      <c r="C3" s="493" t="s">
        <v>5200</v>
      </c>
      <c r="D3" s="493"/>
      <c r="E3" s="493"/>
      <c r="F3" s="493"/>
      <c r="G3" s="493"/>
      <c r="H3" s="493"/>
      <c r="I3" s="493"/>
      <c r="J3" s="493"/>
      <c r="K3" s="493"/>
      <c r="L3" s="493"/>
      <c r="M3" s="493"/>
    </row>
    <row r="4" spans="1:48" s="88" customFormat="1" ht="16.5" customHeight="1">
      <c r="A4" s="496" t="s">
        <v>5786</v>
      </c>
      <c r="B4" s="496"/>
      <c r="C4" s="497" t="s">
        <v>5201</v>
      </c>
      <c r="D4" s="497"/>
      <c r="E4" s="497"/>
      <c r="F4" s="497"/>
      <c r="G4" s="497"/>
      <c r="H4" s="497"/>
      <c r="I4" s="497"/>
      <c r="J4" s="497"/>
      <c r="K4" s="497"/>
      <c r="L4" s="497"/>
      <c r="M4" s="497"/>
    </row>
    <row r="5" spans="1:48" s="88" customFormat="1" ht="16.5" customHeight="1">
      <c r="A5" s="496" t="s">
        <v>1220</v>
      </c>
      <c r="B5" s="496"/>
      <c r="C5" s="493" t="s">
        <v>5202</v>
      </c>
      <c r="D5" s="493"/>
      <c r="E5" s="493"/>
      <c r="F5" s="493"/>
      <c r="G5" s="493"/>
      <c r="H5" s="493"/>
      <c r="I5" s="493"/>
      <c r="J5" s="493"/>
      <c r="K5" s="493"/>
      <c r="L5" s="493"/>
      <c r="M5" s="493"/>
    </row>
    <row r="6" spans="1:48" s="88" customFormat="1" ht="16.5" customHeight="1">
      <c r="A6" s="496" t="s">
        <v>5785</v>
      </c>
      <c r="B6" s="496"/>
      <c r="C6" s="493" t="s">
        <v>5203</v>
      </c>
      <c r="D6" s="493"/>
      <c r="E6" s="493"/>
      <c r="F6" s="493"/>
      <c r="G6" s="493"/>
      <c r="H6" s="493"/>
      <c r="I6" s="493"/>
      <c r="J6" s="493"/>
      <c r="K6" s="493"/>
      <c r="L6" s="493"/>
      <c r="M6" s="493"/>
    </row>
    <row r="7" spans="1:48" s="88" customFormat="1" ht="16.5" customHeight="1">
      <c r="A7" s="89" t="s">
        <v>1223</v>
      </c>
      <c r="B7" s="92" t="s">
        <v>4061</v>
      </c>
      <c r="C7" s="493" t="s">
        <v>5204</v>
      </c>
      <c r="D7" s="493"/>
      <c r="E7" s="493"/>
      <c r="F7" s="493"/>
      <c r="G7" s="493"/>
      <c r="H7" s="493"/>
      <c r="I7" s="493"/>
      <c r="J7" s="493"/>
      <c r="K7" s="493"/>
      <c r="L7" s="493"/>
      <c r="M7" s="493"/>
    </row>
    <row r="8" spans="1:48" s="88" customFormat="1" ht="16.5" customHeight="1">
      <c r="A8" s="89"/>
      <c r="B8" s="92" t="s">
        <v>4063</v>
      </c>
      <c r="C8" s="493" t="s">
        <v>5205</v>
      </c>
      <c r="D8" s="493"/>
      <c r="E8" s="493"/>
      <c r="F8" s="493"/>
      <c r="G8" s="493"/>
      <c r="H8" s="493"/>
      <c r="I8" s="493"/>
      <c r="J8" s="493"/>
      <c r="K8" s="493"/>
      <c r="L8" s="493"/>
      <c r="M8" s="493"/>
    </row>
    <row r="9" spans="1:48" s="88" customFormat="1" ht="16.5" customHeight="1">
      <c r="A9" s="89"/>
      <c r="B9" s="90"/>
      <c r="C9" s="493"/>
      <c r="D9" s="493"/>
      <c r="E9" s="493"/>
      <c r="F9" s="493"/>
      <c r="G9" s="493"/>
      <c r="H9" s="493"/>
      <c r="I9" s="493"/>
      <c r="J9" s="493"/>
      <c r="K9" s="493"/>
      <c r="L9" s="493"/>
      <c r="M9" s="493"/>
    </row>
    <row r="10" spans="1:48" s="88" customFormat="1" ht="16.5" customHeight="1">
      <c r="A10" s="89" t="s">
        <v>1228</v>
      </c>
      <c r="B10" s="493"/>
      <c r="C10" s="493"/>
      <c r="D10" s="493"/>
      <c r="E10" s="493"/>
      <c r="F10" s="493"/>
      <c r="G10" s="493"/>
      <c r="H10" s="493"/>
      <c r="I10" s="493"/>
      <c r="J10" s="493"/>
      <c r="K10" s="493"/>
      <c r="L10" s="493"/>
      <c r="M10" s="493"/>
    </row>
    <row r="11" spans="1:48" ht="51" customHeight="1">
      <c r="A11" s="89" t="s">
        <v>1229</v>
      </c>
      <c r="B11" s="673" t="s">
        <v>5206</v>
      </c>
      <c r="C11" s="673"/>
      <c r="D11" s="673"/>
      <c r="E11" s="673"/>
      <c r="F11" s="673"/>
      <c r="G11" s="673"/>
      <c r="H11" s="673"/>
      <c r="I11" s="673"/>
      <c r="J11" s="673"/>
      <c r="K11" s="673"/>
      <c r="L11" s="673"/>
      <c r="M11" s="673"/>
    </row>
    <row r="12" spans="1:48" ht="21" customHeight="1">
      <c r="B12" s="494" t="s">
        <v>2863</v>
      </c>
      <c r="C12" s="494"/>
      <c r="D12" s="494"/>
      <c r="E12" s="494"/>
      <c r="F12" s="494"/>
      <c r="G12" s="494"/>
      <c r="H12" s="494"/>
      <c r="I12" s="494"/>
      <c r="J12" s="494"/>
      <c r="K12" s="494"/>
      <c r="L12" s="495"/>
    </row>
    <row r="13" spans="1:48" s="93" customFormat="1" ht="16.5" customHeight="1"/>
    <row r="14" spans="1:48" s="93" customFormat="1" ht="16.5" customHeight="1">
      <c r="A14" s="94" t="s">
        <v>1232</v>
      </c>
      <c r="B14" s="93" t="s">
        <v>1773</v>
      </c>
    </row>
    <row r="15" spans="1:48" s="93" customFormat="1" ht="16.5" customHeight="1">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48" s="93" customFormat="1" ht="16.5" customHeight="1">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48" s="93" customFormat="1" ht="16.5" customHeight="1">
      <c r="B17" s="94" t="s">
        <v>1431</v>
      </c>
      <c r="C17" s="104" t="s">
        <v>1238</v>
      </c>
      <c r="E17" s="94" t="s">
        <v>4885</v>
      </c>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48" s="93" customFormat="1" ht="16.5" customHeight="1">
      <c r="B18" s="93">
        <f>ERF(0.745)</f>
        <v>0.70792892009573771</v>
      </c>
      <c r="C18" s="108" t="s">
        <v>5207</v>
      </c>
      <c r="E18" s="93" t="s">
        <v>5208</v>
      </c>
      <c r="F18" s="9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48" s="93" customFormat="1" ht="16.5" customHeight="1">
      <c r="B19" s="93">
        <f>ERF(1)</f>
        <v>0.84270079294971489</v>
      </c>
      <c r="C19" s="108" t="s">
        <v>5209</v>
      </c>
      <c r="E19" s="93" t="s">
        <v>5210</v>
      </c>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48" s="93" customFormat="1" ht="16.5" customHeight="1">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48" s="93" customFormat="1" ht="16.5" customHeight="1">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row>
    <row r="22" spans="1:48" s="93" customFormat="1" ht="16.5" customHeight="1">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row>
    <row r="23" spans="1:48" s="93" customFormat="1" ht="16.5" customHeight="1">
      <c r="A23" s="9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row>
    <row r="24" spans="1:48" s="93" customFormat="1" ht="16.5" customHeight="1">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row>
    <row r="25" spans="1:48" s="93" customFormat="1" ht="16.5" customHeight="1">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48" s="93" customFormat="1" ht="16.5" customHeight="1">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48" s="93" customFormat="1" ht="16.5" customHeight="1">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row>
    <row r="28" spans="1:48" s="93" customFormat="1" ht="16.5" customHeight="1">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row>
    <row r="29" spans="1:48" s="93" customFormat="1" ht="16.5" customHeight="1">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row>
    <row r="30" spans="1:48" s="93" customFormat="1" ht="16.5" customHeight="1">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row>
    <row r="31" spans="1:48" s="93" customFormat="1" ht="16.5" customHeight="1">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row>
    <row r="32" spans="1:48" s="93" customFormat="1" ht="16.5" customHeight="1">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row>
    <row r="33" spans="1:48" s="93" customFormat="1" ht="16.5" customHeight="1">
      <c r="A33" s="9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s="93" customFormat="1" ht="16.5" customHeight="1">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row>
    <row r="35" spans="1:48" s="93" customFormat="1" ht="16.5" customHeight="1">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s="93" customFormat="1" ht="16.5" customHeight="1">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s="93" customFormat="1" ht="16.5" customHeight="1">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s="93" customFormat="1" ht="16.5" customHeight="1">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s="93" customFormat="1" ht="16.5" customHeight="1">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s="93" customFormat="1" ht="16.5" customHeight="1">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row>
    <row r="41" spans="1:48" s="93" customFormat="1" ht="16.5" customHeight="1">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row>
    <row r="42" spans="1:48" s="93" customFormat="1" ht="16.5" customHeight="1">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row>
    <row r="43" spans="1:48" s="93" customFormat="1" ht="16.5" customHeight="1">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row>
    <row r="44" spans="1:48" s="93" customFormat="1" ht="16.5" customHeight="1">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row>
    <row r="45" spans="1:48" s="93" customFormat="1" ht="16.5" customHeight="1">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row>
    <row r="46" spans="1:48" s="93" customFormat="1" ht="16.5" customHeight="1">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row>
    <row r="47" spans="1:48" s="93" customFormat="1" ht="16.5" customHeight="1">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row>
    <row r="48" spans="1:48">
      <c r="A48" s="93"/>
      <c r="B48" s="93"/>
      <c r="C48" s="93"/>
      <c r="D48" s="93"/>
      <c r="E48" s="93"/>
      <c r="F48" s="93"/>
      <c r="G48" s="93"/>
      <c r="H48" s="93"/>
      <c r="I48" s="93"/>
      <c r="J48" s="93"/>
      <c r="K48" s="93"/>
      <c r="L48" s="93"/>
      <c r="M48" s="93"/>
    </row>
    <row r="100" spans="1:13" s="88" customFormat="1" ht="26.25" customHeight="1">
      <c r="A100" s="498" t="s">
        <v>866</v>
      </c>
      <c r="B100" s="498"/>
      <c r="C100" s="499"/>
      <c r="D100" s="87"/>
      <c r="E100" s="500" t="str">
        <f>HYPERLINK("#目录!A463","跳转回到目录页")</f>
        <v>跳转回到目录页</v>
      </c>
      <c r="F100" s="501"/>
    </row>
    <row r="101" spans="1:13" s="88" customFormat="1" ht="26.25" customHeight="1">
      <c r="A101" s="502" t="s">
        <v>1216</v>
      </c>
      <c r="B101" s="502"/>
      <c r="C101" s="503" t="s">
        <v>661</v>
      </c>
      <c r="D101" s="503"/>
      <c r="E101" s="503"/>
      <c r="F101" s="503"/>
      <c r="G101" s="503"/>
      <c r="H101" s="503"/>
      <c r="I101" s="503"/>
      <c r="J101" s="503"/>
      <c r="K101" s="503"/>
      <c r="L101" s="503"/>
      <c r="M101" s="503"/>
    </row>
    <row r="102" spans="1:13" s="88" customFormat="1" ht="16.5" customHeight="1">
      <c r="A102" s="496" t="s">
        <v>1217</v>
      </c>
      <c r="B102" s="496"/>
      <c r="C102" s="493" t="s">
        <v>5211</v>
      </c>
      <c r="D102" s="493"/>
      <c r="E102" s="493"/>
      <c r="F102" s="493"/>
      <c r="G102" s="493"/>
      <c r="H102" s="493"/>
      <c r="I102" s="493"/>
      <c r="J102" s="493"/>
      <c r="K102" s="493"/>
      <c r="L102" s="493"/>
      <c r="M102" s="493"/>
    </row>
    <row r="103" spans="1:13" s="88" customFormat="1" ht="16.5" customHeight="1">
      <c r="A103" s="496" t="s">
        <v>5786</v>
      </c>
      <c r="B103" s="496"/>
      <c r="C103" s="497" t="s">
        <v>661</v>
      </c>
      <c r="D103" s="497"/>
      <c r="E103" s="497"/>
      <c r="F103" s="497"/>
      <c r="G103" s="497"/>
      <c r="H103" s="497"/>
      <c r="I103" s="497"/>
      <c r="J103" s="497"/>
      <c r="K103" s="497"/>
      <c r="L103" s="497"/>
      <c r="M103" s="497"/>
    </row>
    <row r="104" spans="1:13" s="88" customFormat="1" ht="16.5" customHeight="1">
      <c r="A104" s="496" t="s">
        <v>1220</v>
      </c>
      <c r="B104" s="496"/>
      <c r="C104" s="493" t="s">
        <v>5212</v>
      </c>
      <c r="D104" s="493"/>
      <c r="E104" s="493"/>
      <c r="F104" s="493"/>
      <c r="G104" s="493"/>
      <c r="H104" s="493"/>
      <c r="I104" s="493"/>
      <c r="J104" s="493"/>
      <c r="K104" s="493"/>
      <c r="L104" s="493"/>
      <c r="M104" s="493"/>
    </row>
    <row r="105" spans="1:13" s="88" customFormat="1" ht="16.5" customHeight="1">
      <c r="A105" s="496" t="s">
        <v>5785</v>
      </c>
      <c r="B105" s="496"/>
      <c r="C105" s="493" t="s">
        <v>5213</v>
      </c>
      <c r="D105" s="493"/>
      <c r="E105" s="493"/>
      <c r="F105" s="493"/>
      <c r="G105" s="493"/>
      <c r="H105" s="493"/>
      <c r="I105" s="493"/>
      <c r="J105" s="493"/>
      <c r="K105" s="493"/>
      <c r="L105" s="493"/>
      <c r="M105" s="493"/>
    </row>
    <row r="106" spans="1:13" s="88" customFormat="1" ht="16.5" customHeight="1">
      <c r="A106" s="89" t="s">
        <v>1223</v>
      </c>
      <c r="B106" s="92" t="s">
        <v>2418</v>
      </c>
      <c r="C106" s="493" t="s">
        <v>5214</v>
      </c>
      <c r="D106" s="493"/>
      <c r="E106" s="493"/>
      <c r="F106" s="493"/>
      <c r="G106" s="493"/>
      <c r="H106" s="493"/>
      <c r="I106" s="493"/>
      <c r="J106" s="493"/>
      <c r="K106" s="493"/>
      <c r="L106" s="493"/>
      <c r="M106" s="493"/>
    </row>
    <row r="107" spans="1:13" s="88" customFormat="1" ht="16.5" customHeight="1">
      <c r="A107" s="89"/>
      <c r="B107" s="92"/>
      <c r="C107" s="493"/>
      <c r="D107" s="493"/>
      <c r="E107" s="493"/>
      <c r="F107" s="493"/>
      <c r="G107" s="493"/>
      <c r="H107" s="493"/>
      <c r="I107" s="493"/>
      <c r="J107" s="493"/>
      <c r="K107" s="493"/>
      <c r="L107" s="493"/>
      <c r="M107" s="493"/>
    </row>
    <row r="108" spans="1:13" s="88" customFormat="1" ht="16.5" customHeight="1">
      <c r="A108" s="89"/>
      <c r="B108" s="90"/>
      <c r="C108" s="493"/>
      <c r="D108" s="493"/>
      <c r="E108" s="493"/>
      <c r="F108" s="493"/>
      <c r="G108" s="493"/>
      <c r="H108" s="493"/>
      <c r="I108" s="493"/>
      <c r="J108" s="493"/>
      <c r="K108" s="493"/>
      <c r="L108" s="493"/>
      <c r="M108" s="493"/>
    </row>
    <row r="109" spans="1:13" s="88" customFormat="1" ht="16.5" customHeight="1">
      <c r="A109" s="89" t="s">
        <v>1228</v>
      </c>
      <c r="B109" s="493"/>
      <c r="C109" s="493"/>
      <c r="D109" s="493"/>
      <c r="E109" s="493"/>
      <c r="F109" s="493"/>
      <c r="G109" s="493"/>
      <c r="H109" s="493"/>
      <c r="I109" s="493"/>
      <c r="J109" s="493"/>
      <c r="K109" s="493"/>
      <c r="L109" s="493"/>
      <c r="M109" s="493"/>
    </row>
    <row r="110" spans="1:13" ht="36.75" customHeight="1">
      <c r="A110" s="89" t="s">
        <v>1229</v>
      </c>
      <c r="B110" s="673" t="s">
        <v>5215</v>
      </c>
      <c r="C110" s="673"/>
      <c r="D110" s="673"/>
      <c r="E110" s="673"/>
      <c r="F110" s="673"/>
      <c r="G110" s="673"/>
      <c r="H110" s="673"/>
      <c r="I110" s="673"/>
      <c r="J110" s="673"/>
      <c r="K110" s="673"/>
      <c r="L110" s="673"/>
      <c r="M110" s="673"/>
    </row>
    <row r="111" spans="1:13" ht="21" customHeight="1">
      <c r="B111" s="494" t="s">
        <v>2863</v>
      </c>
      <c r="C111" s="494"/>
      <c r="D111" s="494"/>
      <c r="E111" s="494"/>
      <c r="F111" s="494"/>
      <c r="G111" s="494"/>
      <c r="H111" s="494"/>
      <c r="I111" s="494"/>
      <c r="J111" s="494"/>
      <c r="K111" s="494"/>
      <c r="L111" s="495"/>
    </row>
    <row r="112" spans="1:13" s="93" customFormat="1" ht="16.5" customHeight="1"/>
    <row r="113" spans="1:48" s="93" customFormat="1" ht="16.5" customHeight="1">
      <c r="A113" s="94" t="s">
        <v>1232</v>
      </c>
      <c r="B113" s="93" t="s">
        <v>1773</v>
      </c>
      <c r="E113" s="4"/>
      <c r="F113" s="4"/>
    </row>
    <row r="114" spans="1:48" s="93" customFormat="1" ht="16.5" customHeight="1">
      <c r="E114" s="4"/>
      <c r="F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spans="1:48" ht="16.5" customHeight="1">
      <c r="E115" s="4" t="s">
        <v>3592</v>
      </c>
    </row>
    <row r="116" spans="1:48" ht="16.5" customHeight="1">
      <c r="B116" s="94" t="s">
        <v>1431</v>
      </c>
      <c r="C116" s="104" t="s">
        <v>1238</v>
      </c>
      <c r="D116" s="94" t="s">
        <v>4885</v>
      </c>
      <c r="F116" s="93"/>
      <c r="G116" s="93"/>
      <c r="H116" s="93"/>
      <c r="I116" s="93"/>
      <c r="J116" s="93"/>
      <c r="K116" s="93"/>
      <c r="L116" s="93"/>
    </row>
    <row r="117" spans="1:48" ht="16.5" customHeight="1">
      <c r="B117" s="93">
        <f>ERFC(1)</f>
        <v>0.15729920705028513</v>
      </c>
      <c r="C117" s="108" t="s">
        <v>5216</v>
      </c>
      <c r="D117" s="93" t="s">
        <v>5217</v>
      </c>
      <c r="F117" s="93"/>
      <c r="G117" s="93"/>
      <c r="H117" s="93"/>
      <c r="I117" s="93"/>
      <c r="J117" s="93"/>
      <c r="K117" s="93"/>
      <c r="L117" s="93"/>
    </row>
    <row r="118" spans="1:48">
      <c r="B118" s="93"/>
      <c r="C118" s="93"/>
      <c r="D118" s="93"/>
      <c r="E118" s="93"/>
      <c r="F118" s="93"/>
      <c r="G118" s="93"/>
      <c r="H118" s="93"/>
      <c r="I118" s="93"/>
      <c r="J118" s="93"/>
      <c r="K118" s="93"/>
      <c r="L118" s="93"/>
    </row>
  </sheetData>
  <mergeCells count="36">
    <mergeCell ref="A1:C1"/>
    <mergeCell ref="E1:F1"/>
    <mergeCell ref="A2:B2"/>
    <mergeCell ref="C2:M2"/>
    <mergeCell ref="A3:B3"/>
    <mergeCell ref="C3:M3"/>
    <mergeCell ref="B12:L12"/>
    <mergeCell ref="A4:B4"/>
    <mergeCell ref="C4:M4"/>
    <mergeCell ref="A5:B5"/>
    <mergeCell ref="C5:M5"/>
    <mergeCell ref="A6:B6"/>
    <mergeCell ref="C6:M6"/>
    <mergeCell ref="C7:M7"/>
    <mergeCell ref="C8:M8"/>
    <mergeCell ref="C9:M9"/>
    <mergeCell ref="B10:M10"/>
    <mergeCell ref="B11:M11"/>
    <mergeCell ref="A100:C100"/>
    <mergeCell ref="E100:F100"/>
    <mergeCell ref="A101:B101"/>
    <mergeCell ref="C101:M101"/>
    <mergeCell ref="A102:B102"/>
    <mergeCell ref="C102:M102"/>
    <mergeCell ref="B111:L111"/>
    <mergeCell ref="A103:B103"/>
    <mergeCell ref="C103:M103"/>
    <mergeCell ref="A104:B104"/>
    <mergeCell ref="C104:M104"/>
    <mergeCell ref="A105:B105"/>
    <mergeCell ref="C105:M105"/>
    <mergeCell ref="C106:M106"/>
    <mergeCell ref="C107:M107"/>
    <mergeCell ref="C108:M108"/>
    <mergeCell ref="B109:M109"/>
    <mergeCell ref="B110:M110"/>
  </mergeCells>
  <phoneticPr fontId="2" type="noConversion"/>
  <pageMargins left="0.75" right="0.75" top="1" bottom="1" header="0.5" footer="0.5"/>
  <headerFooter scaleWithDoc="0" alignWithMargins="0"/>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ScaleCrop>false</ScaleCrop>
  <HeadingPairs>
    <vt:vector size="4" baseType="variant">
      <vt:variant>
        <vt:lpstr>工作表</vt:lpstr>
      </vt:variant>
      <vt:variant>
        <vt:i4>114</vt:i4>
      </vt:variant>
      <vt:variant>
        <vt:lpstr>命名范围</vt:lpstr>
      </vt:variant>
      <vt:variant>
        <vt:i4>1</vt:i4>
      </vt:variant>
    </vt:vector>
  </HeadingPairs>
  <TitlesOfParts>
    <vt:vector size="115" baseType="lpstr">
      <vt:lpstr>目录</vt:lpstr>
      <vt:lpstr>函数字母索引</vt:lpstr>
      <vt:lpstr>关于分析工具库</vt:lpstr>
      <vt:lpstr>计算日期、天数、星期</vt:lpstr>
      <vt:lpstr>计算日期时间的数值</vt:lpstr>
      <vt:lpstr>TODAY与NOW</vt:lpstr>
      <vt:lpstr>提取年月日星期数函数</vt:lpstr>
      <vt:lpstr>提取时分秒</vt:lpstr>
      <vt:lpstr>SUM</vt:lpstr>
      <vt:lpstr>SUMIF</vt:lpstr>
      <vt:lpstr>COUNTIF</vt:lpstr>
      <vt:lpstr>PRODUCT</vt:lpstr>
      <vt:lpstr>SUMPRODUCT</vt:lpstr>
      <vt:lpstr>SUMSQ</vt:lpstr>
      <vt:lpstr>数组的平方计算</vt:lpstr>
      <vt:lpstr>SUBTOTAL</vt:lpstr>
      <vt:lpstr>数值舍入取整</vt:lpstr>
      <vt:lpstr>商的整数部分或余数</vt:lpstr>
      <vt:lpstr>最大公约数或最小公倍数</vt:lpstr>
      <vt:lpstr>转换或检查符号</vt:lpstr>
      <vt:lpstr>组合的计算</vt:lpstr>
      <vt:lpstr>计算幂级数与平方根</vt:lpstr>
      <vt:lpstr>指数与对数函数</vt:lpstr>
      <vt:lpstr>三角与反三角函数</vt:lpstr>
      <vt:lpstr>计算圆周率与角度和弧度的转换</vt:lpstr>
      <vt:lpstr>双曲与反双曲函数</vt:lpstr>
      <vt:lpstr>计算矩阵</vt:lpstr>
      <vt:lpstr>随机数</vt:lpstr>
      <vt:lpstr>IF</vt:lpstr>
      <vt:lpstr>判断多个条件</vt:lpstr>
      <vt:lpstr>表示逻辑值</vt:lpstr>
      <vt:lpstr>VLOOKUP</vt:lpstr>
      <vt:lpstr>HLOOKUP</vt:lpstr>
      <vt:lpstr>LOOKUP</vt:lpstr>
      <vt:lpstr>MATCH</vt:lpstr>
      <vt:lpstr>OFFSET</vt:lpstr>
      <vt:lpstr>INDEX</vt:lpstr>
      <vt:lpstr>INDIRECT与CHOOSE</vt:lpstr>
      <vt:lpstr>单元格引用或单元格位置</vt:lpstr>
      <vt:lpstr>计算区域内的要素</vt:lpstr>
      <vt:lpstr>HYPERLINK</vt:lpstr>
      <vt:lpstr>TRANSPOSE</vt:lpstr>
      <vt:lpstr>RTD</vt:lpstr>
      <vt:lpstr>全角半角字符转换</vt:lpstr>
      <vt:lpstr>大小写字母转换</vt:lpstr>
      <vt:lpstr>文本转换计算合并</vt:lpstr>
      <vt:lpstr>提取文本的一部分</vt:lpstr>
      <vt:lpstr>检索文本</vt:lpstr>
      <vt:lpstr>替换文本</vt:lpstr>
      <vt:lpstr>删除多余的字符</vt:lpstr>
      <vt:lpstr>操作文字代码</vt:lpstr>
      <vt:lpstr>TEXT</vt:lpstr>
      <vt:lpstr>数值转换成格式</vt:lpstr>
      <vt:lpstr>检查重复返回文本</vt:lpstr>
      <vt:lpstr>TRIMMEAN</vt:lpstr>
      <vt:lpstr>计算数据的个数</vt:lpstr>
      <vt:lpstr>平均值</vt:lpstr>
      <vt:lpstr>中位数和众数</vt:lpstr>
      <vt:lpstr>最大值和最小值</vt:lpstr>
      <vt:lpstr>计算位置</vt:lpstr>
      <vt:lpstr>FREQUENCY</vt:lpstr>
      <vt:lpstr>百分位数和四分位数</vt:lpstr>
      <vt:lpstr>计算方差</vt:lpstr>
      <vt:lpstr>计算标准偏差</vt:lpstr>
      <vt:lpstr>计算平均偏差和变动</vt:lpstr>
      <vt:lpstr>数据的标准化与比率和偏斜度</vt:lpstr>
      <vt:lpstr>使用回归直曲线或指数回归进行的预测</vt:lpstr>
      <vt:lpstr>计算相关系数</vt:lpstr>
      <vt:lpstr>CONFIDENCE与PROB</vt:lpstr>
      <vt:lpstr>各种分布的概率</vt:lpstr>
      <vt:lpstr>对数正态分布的累积概率</vt:lpstr>
      <vt:lpstr>卡方分布与检验</vt:lpstr>
      <vt:lpstr>t分布与检验</vt:lpstr>
      <vt:lpstr>F分布与检验</vt:lpstr>
      <vt:lpstr>FISHER变换</vt:lpstr>
      <vt:lpstr>计算伽玛分布</vt:lpstr>
      <vt:lpstr>计算Beta分布</vt:lpstr>
      <vt:lpstr>ZTEST与EXPONDIST与WEIBULL</vt:lpstr>
      <vt:lpstr>贷款部分</vt:lpstr>
      <vt:lpstr>贷储利率类</vt:lpstr>
      <vt:lpstr>内部利益率</vt:lpstr>
      <vt:lpstr>定期付息证券</vt:lpstr>
      <vt:lpstr>定期付息证券的日期信息</vt:lpstr>
      <vt:lpstr>定期付息证券的修正期限</vt:lpstr>
      <vt:lpstr>期间不定的定期付息证券</vt:lpstr>
      <vt:lpstr>到期付息证券</vt:lpstr>
      <vt:lpstr>折价证券</vt:lpstr>
      <vt:lpstr>美国财务省的短期证券</vt:lpstr>
      <vt:lpstr>美元价格表示式</vt:lpstr>
      <vt:lpstr>计算折旧费</vt:lpstr>
      <vt:lpstr>交换数值的进制标记</vt:lpstr>
      <vt:lpstr>构成和分解复数</vt:lpstr>
      <vt:lpstr>复数转换成模形式</vt:lpstr>
      <vt:lpstr>进行复数的四则运算</vt:lpstr>
      <vt:lpstr>复数的指数函数和幂函数的值</vt:lpstr>
      <vt:lpstr>复数的对数函数值</vt:lpstr>
      <vt:lpstr>复数的平方根与三角函数</vt:lpstr>
      <vt:lpstr>使用贝塞尔函数</vt:lpstr>
      <vt:lpstr>使用误差函数</vt:lpstr>
      <vt:lpstr>比较数值</vt:lpstr>
      <vt:lpstr>单位的转换</vt:lpstr>
      <vt:lpstr>查看单元格内容</vt:lpstr>
      <vt:lpstr>查看数据型或错误值</vt:lpstr>
      <vt:lpstr>查看单元格信息</vt:lpstr>
      <vt:lpstr>变更为数值</vt:lpstr>
      <vt:lpstr>获取操作环境的信息</vt:lpstr>
      <vt:lpstr>使用数据透视表</vt:lpstr>
      <vt:lpstr>满足条件的单元格的个数</vt:lpstr>
      <vt:lpstr>满足条件的最大值或最小值</vt:lpstr>
      <vt:lpstr>满足条件的列的各种计算</vt:lpstr>
      <vt:lpstr>DGET</vt:lpstr>
      <vt:lpstr>计算数据库的方差</vt:lpstr>
      <vt:lpstr>数据库的标准偏差</vt:lpstr>
      <vt:lpstr>外部函数</vt:lpstr>
      <vt:lpstr>嵌套函数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du xu</cp:lastModifiedBy>
  <cp:revision/>
  <dcterms:created xsi:type="dcterms:W3CDTF">2011-11-01T14:49:04Z</dcterms:created>
  <dcterms:modified xsi:type="dcterms:W3CDTF">2023-02-16T10:25:29Z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2052-9.1.0.5113</vt:lpwstr>
  </property>
</Properties>
</file>